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111" documentId="8_{51C902BF-A7C6-42B7-8C0D-E8391BCA8FF0}" xr6:coauthVersionLast="47" xr6:coauthVersionMax="47" xr10:uidLastSave="{D77A6F35-71F1-4241-BE90-7EA7857DEDD9}"/>
  <bookViews>
    <workbookView xWindow="-110" yWindow="-110" windowWidth="19420" windowHeight="10300" xr2:uid="{6AF04D03-3FFF-482B-ADA3-9E84988EE023}"/>
  </bookViews>
  <sheets>
    <sheet name="MeinBrot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C18" i="1" l="1"/>
  <c r="C17" i="1"/>
  <c r="C16" i="1"/>
  <c r="B161" i="1"/>
  <c r="B156" i="1"/>
  <c r="B153" i="1"/>
  <c r="B152" i="1"/>
  <c r="A39" i="1" l="1"/>
  <c r="A53" i="1"/>
  <c r="A114" i="1" s="1"/>
  <c r="A47" i="1"/>
  <c r="A81" i="1"/>
  <c r="A74" i="1"/>
  <c r="A115" i="1" s="1"/>
  <c r="A67" i="1"/>
  <c r="A60" i="1"/>
  <c r="D55" i="1"/>
  <c r="D56" i="1" s="1"/>
  <c r="B56" i="1" s="1"/>
  <c r="E58" i="1"/>
  <c r="E65" i="1" s="1"/>
  <c r="D106" i="1"/>
  <c r="B19" i="1"/>
  <c r="D109" i="1" l="1"/>
  <c r="B20" i="1"/>
  <c r="D53" i="1"/>
  <c r="D114" i="1" s="1"/>
  <c r="B55" i="1"/>
  <c r="E72" i="1"/>
  <c r="E79" i="1" s="1"/>
  <c r="E87" i="1" s="1"/>
  <c r="D42" i="1"/>
  <c r="D43" i="1" s="1"/>
  <c r="D97" i="1" s="1"/>
  <c r="A93" i="1"/>
  <c r="D77" i="1"/>
  <c r="B77" i="1" s="1"/>
  <c r="B169" i="1" s="1"/>
  <c r="D104" i="1"/>
  <c r="B104" i="1" s="1"/>
  <c r="B157" i="1" s="1"/>
  <c r="E157" i="1" s="1"/>
  <c r="B53" i="1" l="1"/>
  <c r="B114" i="1" s="1"/>
  <c r="B163" i="1"/>
  <c r="D41" i="1"/>
  <c r="B42" i="1"/>
  <c r="D76" i="1"/>
  <c r="C157" i="1"/>
  <c r="F157" i="1"/>
  <c r="G157" i="1"/>
  <c r="D157" i="1"/>
  <c r="D63" i="1"/>
  <c r="B63" i="1" s="1"/>
  <c r="A94" i="1"/>
  <c r="B160" i="1"/>
  <c r="B97" i="1" l="1"/>
  <c r="B43" i="1"/>
  <c r="B41" i="1"/>
  <c r="B76" i="1"/>
  <c r="B74" i="1" s="1"/>
  <c r="B115" i="1" s="1"/>
  <c r="D74" i="1"/>
  <c r="D115" i="1" s="1"/>
  <c r="D39" i="1"/>
  <c r="D93" i="1"/>
  <c r="B167" i="1"/>
  <c r="D62" i="1"/>
  <c r="B106" i="1"/>
  <c r="D70" i="1"/>
  <c r="D69" i="1" s="1"/>
  <c r="B158" i="1" l="1"/>
  <c r="B39" i="1"/>
  <c r="B93" i="1" s="1"/>
  <c r="B62" i="1"/>
  <c r="D60" i="1"/>
  <c r="D94" i="1" s="1"/>
  <c r="B70" i="1"/>
  <c r="D49" i="1"/>
  <c r="B69" i="1" l="1"/>
  <c r="B67" i="1" s="1"/>
  <c r="D67" i="1"/>
  <c r="B60" i="1"/>
  <c r="B94" i="1"/>
  <c r="D50" i="1"/>
  <c r="D113" i="1" s="1"/>
  <c r="A96" i="1"/>
  <c r="D99" i="1"/>
  <c r="D100" i="1"/>
  <c r="B100" i="1" s="1"/>
  <c r="D101" i="1"/>
  <c r="D102" i="1"/>
  <c r="B102" i="1" s="1"/>
  <c r="D103" i="1"/>
  <c r="B103" i="1" s="1"/>
  <c r="B154" i="1"/>
  <c r="F154" i="1" s="1"/>
  <c r="B155" i="1"/>
  <c r="G155" i="1" s="1"/>
  <c r="G152" i="1"/>
  <c r="G161" i="1"/>
  <c r="F153" i="1"/>
  <c r="B151" i="1"/>
  <c r="G151" i="1" s="1"/>
  <c r="G173" i="1"/>
  <c r="F173" i="1"/>
  <c r="E173" i="1"/>
  <c r="D173" i="1"/>
  <c r="C173" i="1"/>
  <c r="G172" i="1"/>
  <c r="F172" i="1"/>
  <c r="E172" i="1"/>
  <c r="D172" i="1"/>
  <c r="C172" i="1"/>
  <c r="G171" i="1"/>
  <c r="F171" i="1"/>
  <c r="E171" i="1"/>
  <c r="D171" i="1"/>
  <c r="C171" i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5" i="1"/>
  <c r="F165" i="1"/>
  <c r="E165" i="1"/>
  <c r="D165" i="1"/>
  <c r="C165" i="1"/>
  <c r="G164" i="1"/>
  <c r="F164" i="1"/>
  <c r="E164" i="1"/>
  <c r="D164" i="1"/>
  <c r="C164" i="1"/>
  <c r="G162" i="1"/>
  <c r="F162" i="1"/>
  <c r="E162" i="1"/>
  <c r="D162" i="1"/>
  <c r="C162" i="1"/>
  <c r="D84" i="1"/>
  <c r="D83" i="1" l="1"/>
  <c r="B101" i="1"/>
  <c r="B99" i="1"/>
  <c r="C155" i="1"/>
  <c r="D155" i="1"/>
  <c r="C161" i="1"/>
  <c r="D161" i="1"/>
  <c r="C154" i="1"/>
  <c r="G153" i="1"/>
  <c r="E155" i="1"/>
  <c r="F155" i="1"/>
  <c r="E154" i="1"/>
  <c r="G154" i="1"/>
  <c r="D154" i="1"/>
  <c r="E152" i="1"/>
  <c r="F152" i="1"/>
  <c r="E161" i="1"/>
  <c r="F161" i="1"/>
  <c r="C152" i="1"/>
  <c r="D152" i="1"/>
  <c r="C153" i="1"/>
  <c r="D153" i="1"/>
  <c r="E153" i="1"/>
  <c r="C151" i="1"/>
  <c r="D151" i="1"/>
  <c r="E151" i="1"/>
  <c r="F151" i="1"/>
  <c r="B49" i="1"/>
  <c r="D92" i="1" l="1"/>
  <c r="D25" i="1" s="1"/>
  <c r="B166" i="1"/>
  <c r="D166" i="1" s="1"/>
  <c r="D163" i="1"/>
  <c r="C163" i="1"/>
  <c r="G163" i="1"/>
  <c r="F163" i="1"/>
  <c r="E163" i="1"/>
  <c r="D47" i="1"/>
  <c r="B50" i="1"/>
  <c r="B48" i="1" l="1"/>
  <c r="B113" i="1"/>
  <c r="E166" i="1"/>
  <c r="C166" i="1"/>
  <c r="G166" i="1"/>
  <c r="F166" i="1"/>
  <c r="F138" i="1"/>
  <c r="B105" i="1"/>
  <c r="D98" i="1"/>
  <c r="D24" i="1" s="1"/>
  <c r="F137" i="1" l="1"/>
  <c r="F135" i="1" s="1"/>
  <c r="B116" i="1"/>
  <c r="B98" i="1"/>
  <c r="B24" i="1" s="1"/>
  <c r="B84" i="1"/>
  <c r="B83" i="1"/>
  <c r="F131" i="1" l="1"/>
  <c r="F132" i="1"/>
  <c r="F127" i="1" s="1"/>
  <c r="F158" i="1"/>
  <c r="E158" i="1"/>
  <c r="C158" i="1"/>
  <c r="D158" i="1"/>
  <c r="G158" i="1"/>
  <c r="F160" i="1"/>
  <c r="E160" i="1"/>
  <c r="D160" i="1"/>
  <c r="C160" i="1"/>
  <c r="G160" i="1"/>
  <c r="A95" i="1"/>
  <c r="F128" i="1" l="1"/>
  <c r="F126" i="1" s="1"/>
  <c r="F125" i="1" s="1"/>
  <c r="F122" i="1" s="1"/>
  <c r="F120" i="1" s="1"/>
  <c r="F110" i="1" s="1"/>
  <c r="D95" i="1"/>
  <c r="D81" i="1"/>
  <c r="D96" i="1" s="1"/>
  <c r="B96" i="1" s="1"/>
  <c r="D90" i="1" l="1"/>
  <c r="B109" i="1"/>
  <c r="B159" i="1" s="1"/>
  <c r="C156" i="1"/>
  <c r="F156" i="1"/>
  <c r="D156" i="1"/>
  <c r="G156" i="1"/>
  <c r="E156" i="1"/>
  <c r="B95" i="1"/>
  <c r="B92" i="1"/>
  <c r="B25" i="1" l="1"/>
  <c r="B150" i="1" s="1"/>
  <c r="B90" i="1"/>
  <c r="F7" i="1" s="1"/>
  <c r="D159" i="1"/>
  <c r="F159" i="1"/>
  <c r="C159" i="1"/>
  <c r="E159" i="1"/>
  <c r="G159" i="1"/>
  <c r="F108" i="1"/>
  <c r="B81" i="1"/>
  <c r="B174" i="1" l="1"/>
  <c r="F91" i="1"/>
  <c r="F58" i="1" s="1"/>
  <c r="F54" i="1" s="1"/>
  <c r="F45" i="1" l="1"/>
  <c r="F40" i="1" s="1"/>
  <c r="F87" i="1"/>
  <c r="F85" i="1" s="1"/>
  <c r="F82" i="1" s="1"/>
  <c r="F79" i="1"/>
  <c r="F78" i="1" s="1"/>
  <c r="F75" i="1" s="1"/>
  <c r="D150" i="1"/>
  <c r="D174" i="1" s="1"/>
  <c r="G150" i="1"/>
  <c r="G174" i="1" s="1"/>
  <c r="C150" i="1"/>
  <c r="C174" i="1" s="1"/>
  <c r="E150" i="1"/>
  <c r="E174" i="1" s="1"/>
  <c r="F150" i="1"/>
  <c r="F174" i="1" s="1"/>
  <c r="F65" i="1"/>
  <c r="F64" i="1" s="1"/>
  <c r="F72" i="1"/>
  <c r="F51" i="1"/>
  <c r="F48" i="1" s="1"/>
  <c r="B176" i="1"/>
  <c r="B27" i="1" l="1"/>
  <c r="B30" i="1"/>
  <c r="B31" i="1"/>
  <c r="B29" i="1"/>
  <c r="B32" i="1"/>
  <c r="B28" i="1"/>
  <c r="F71" i="1" l="1"/>
</calcChain>
</file>

<file path=xl/sharedStrings.xml><?xml version="1.0" encoding="utf-8"?>
<sst xmlns="http://schemas.openxmlformats.org/spreadsheetml/2006/main" count="204" uniqueCount="124">
  <si>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</si>
  <si>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</si>
  <si>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</si>
  <si>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</si>
  <si>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</si>
  <si>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</si>
  <si>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</si>
  <si>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</si>
  <si>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</si>
  <si>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</si>
  <si>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</si>
  <si>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</si>
  <si>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</si>
  <si>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</si>
  <si>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</si>
  <si>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</si>
  <si>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</si>
  <si>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</si>
  <si>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</si>
  <si>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</si>
  <si>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</si>
  <si>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</si>
  <si>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</si>
  <si>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</si>
  <si>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</si>
  <si>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</si>
  <si>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</si>
  <si>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</si>
  <si>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</si>
  <si>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Optional: Bassinage, Wasser ca.</t>
  </si>
  <si>
    <t>Optimale Teigtemperatur</t>
  </si>
  <si>
    <t>4. Stückgare</t>
  </si>
  <si>
    <t>hh:mm</t>
  </si>
  <si>
    <t>Backstein oder Topf aufheizen</t>
  </si>
  <si>
    <t>Teigling einschneiden und nach Belieben mit Saaten bestreuen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</si>
  <si>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</si>
  <si>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</si>
  <si>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</si>
  <si>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</si>
  <si>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</si>
  <si>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</si>
  <si>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</si>
  <si>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</si>
  <si>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</si>
  <si>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</si>
  <si>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</si>
  <si>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</si>
  <si>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</si>
  <si>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</si>
  <si>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</si>
  <si>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</si>
  <si>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</si>
  <si>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</si>
  <si>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</si>
  <si>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</si>
  <si>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</si>
  <si>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</si>
  <si>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</si>
  <si>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</si>
  <si>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</si>
  <si>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</si>
  <si>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</si>
  <si>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</si>
  <si>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</si>
  <si>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</si>
  <si>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</si>
  <si>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</si>
  <si>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</si>
  <si>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</si>
  <si>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</si>
  <si>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</si>
  <si>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</si>
  <si>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</si>
  <si>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</si>
  <si>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</si>
  <si>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</si>
  <si>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</si>
  <si>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</si>
  <si>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Fogende Zutaten abwiegen</t>
  </si>
  <si>
    <t>(geröstete) Körner</t>
  </si>
  <si>
    <t>Körner im kochenden Wasser simmern lassen bis die Körner weich sind.</t>
  </si>
  <si>
    <t>Weizenmehl 550 im Poolisch</t>
  </si>
  <si>
    <t>Zutaten verrühren bis kein Mehl und kein Wasser mehr zu sehen ist.</t>
  </si>
  <si>
    <t>Zubereitungszeit:</t>
  </si>
  <si>
    <t>TT.MM &gt;&gt;</t>
  </si>
  <si>
    <t>www.brotfeuer.de</t>
  </si>
  <si>
    <t>Quellzeit</t>
  </si>
  <si>
    <r>
      <t>Frischhefe</t>
    </r>
    <r>
      <rPr>
        <sz val="10"/>
        <rFont val="Tahoma"/>
        <family val="2"/>
      </rPr>
      <t xml:space="preserve"> (alternativ 1/3 Trockenhefe)</t>
    </r>
  </si>
  <si>
    <t>28 - 48 Stunden</t>
  </si>
  <si>
    <t>Mehl im alten Sauerteig-Anstellgut TA200</t>
  </si>
  <si>
    <t>Altes Sauerteig-Anstellgut TA200</t>
  </si>
  <si>
    <t>30 - 60 Minuten</t>
  </si>
  <si>
    <t>Weitere Zutaten/Vorstufen</t>
  </si>
  <si>
    <t>Fortsetzung auf der nächsten Seite.</t>
  </si>
  <si>
    <t>3. Stockgare</t>
  </si>
  <si>
    <t>Frischhefe (alternativ: 1/3 Trockenhefe)</t>
  </si>
  <si>
    <t>Nüsse o. SB-Kerne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</si>
  <si>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</si>
  <si>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</si>
  <si>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</si>
  <si>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</si>
  <si>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</si>
  <si>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</si>
  <si>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</si>
  <si>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&gt; Seite 3: Alles Weitere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</si>
  <si>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</si>
  <si>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</si>
  <si>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</si>
  <si>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</si>
  <si>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</si>
  <si>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r>
      <rPr>
        <b/>
        <sz val="14"/>
        <rFont val="Tahoma"/>
        <family val="2"/>
      </rPr>
      <t>Mein Brot 2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Maximal 0,7%Hefe, kühle Stockgare über Nacht oder länger. Wahlweise ohne Kneten. Weitere Optionen: Poolish, Sauerteig-Anstellgut und weiteren Zutaten. Dieses Rezept eignet sich für Dinkel- und Weizen(misch)brote mit maximal 30% Roggenmehl.
</t>
    </r>
  </si>
  <si>
    <t>Abschließend folgende Zutaten schonend einkneten.</t>
  </si>
  <si>
    <t>Optional ohne Kneten: In der Stockgare dreimal dehnen und falten.</t>
  </si>
  <si>
    <t>Optional ohne Kneten: Nach 20, 40 und 60 Minuten dehnen und falten</t>
  </si>
  <si>
    <t>Stockgare zeitlich flexibel, zwischen 12 - 23 Stunden</t>
  </si>
  <si>
    <t>Teigling aus der Kühlung nehmen, abstechen und vorformen.</t>
  </si>
  <si>
    <t>Teiglinge akklimatisieren lassen.</t>
  </si>
  <si>
    <t>Teiglinge auf Spannung bringen und formen.</t>
  </si>
  <si>
    <t>Stückgare bis sich der Teig sichtbar vergrößert hat.</t>
  </si>
  <si>
    <t>ca.</t>
  </si>
  <si>
    <t>Stockgare in geölter Schüssel</t>
  </si>
  <si>
    <t>Teigling auf Backpapier legen, Schluss unten</t>
  </si>
  <si>
    <t>Quellzeit flexibel zwischen 9 - 16 Stunden</t>
  </si>
  <si>
    <t>1.b abgetropfte(!) Nüsse o. SB-Kerne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</si>
</sst>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  <numFmt numFmtId="174" formatCode="dd/mmyyyy\ hh:mm"/>
    <numFmt numFmtId="175" formatCode="dd/mm/yy\ hh:mm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b/>
      <sz val="10"/>
      <color theme="8" tint="0.39997558519241921"/>
      <name val="Tahoma"/>
      <family val="2"/>
    </font>
    <font>
      <sz val="10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165" fontId="10" fillId="0" borderId="0" xfId="0" applyNumberFormat="1" applyFont="1" applyAlignment="1" applyProtection="1">
      <alignment horizontal="left"/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Protection="1">
      <protection hidden="1"/>
    </xf>
    <xf numFmtId="9" fontId="5" fillId="0" borderId="0" xfId="0" applyNumberFormat="1" applyFont="1" applyProtection="1">
      <protection hidden="1"/>
    </xf>
    <xf numFmtId="0" fontId="2" fillId="2" borderId="5" xfId="0" applyFont="1" applyFill="1" applyBorder="1"/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172" fontId="5" fillId="0" borderId="1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2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3" fontId="5" fillId="4" borderId="3" xfId="0" applyNumberFormat="1" applyFont="1" applyFill="1" applyBorder="1" applyAlignment="1" applyProtection="1">
      <alignment horizontal="right"/>
      <protection hidden="1"/>
    </xf>
    <xf numFmtId="9" fontId="10" fillId="4" borderId="2" xfId="0" applyNumberFormat="1" applyFont="1" applyFill="1" applyBorder="1" applyProtection="1">
      <protection hidden="1"/>
    </xf>
    <xf numFmtId="169" fontId="5" fillId="4" borderId="0" xfId="0" applyNumberFormat="1" applyFont="1" applyFill="1" applyAlignment="1" applyProtection="1">
      <alignment horizontal="right"/>
      <protection hidden="1"/>
    </xf>
    <xf numFmtId="1" fontId="5" fillId="4" borderId="0" xfId="0" applyNumberFormat="1" applyFont="1" applyFill="1" applyAlignment="1" applyProtection="1">
      <alignment horizontal="right"/>
      <protection hidden="1"/>
    </xf>
    <xf numFmtId="9" fontId="12" fillId="4" borderId="0" xfId="0" applyNumberFormat="1" applyFont="1" applyFill="1" applyAlignment="1" applyProtection="1">
      <alignment horizontal="right"/>
      <protection hidden="1"/>
    </xf>
    <xf numFmtId="165" fontId="10" fillId="4" borderId="0" xfId="0" applyNumberFormat="1" applyFont="1" applyFill="1" applyAlignment="1" applyProtection="1">
      <alignment horizontal="center"/>
      <protection hidden="1"/>
    </xf>
    <xf numFmtId="9" fontId="5" fillId="4" borderId="3" xfId="0" applyNumberFormat="1" applyFont="1" applyFill="1" applyBorder="1" applyProtection="1">
      <protection hidden="1"/>
    </xf>
    <xf numFmtId="169" fontId="5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Alignment="1" applyProtection="1">
      <alignment horizontal="right"/>
      <protection hidden="1"/>
    </xf>
    <xf numFmtId="9" fontId="9" fillId="2" borderId="6" xfId="0" applyNumberFormat="1" applyFont="1" applyFill="1" applyBorder="1" applyAlignment="1" applyProtection="1">
      <alignment horizontal="right"/>
      <protection hidden="1"/>
    </xf>
    <xf numFmtId="165" fontId="6" fillId="0" borderId="4" xfId="0" applyNumberFormat="1" applyFont="1" applyBorder="1" applyAlignment="1" applyProtection="1">
      <alignment horizontal="center"/>
      <protection locked="0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7" xfId="0" applyNumberFormat="1" applyFont="1" applyBorder="1" applyAlignment="1" applyProtection="1">
      <alignment horizontal="left"/>
      <protection locked="0"/>
    </xf>
    <xf numFmtId="9" fontId="6" fillId="0" borderId="17" xfId="0" applyNumberFormat="1" applyFont="1" applyBorder="1" applyAlignment="1" applyProtection="1">
      <alignment horizontal="right"/>
      <protection locked="0"/>
    </xf>
    <xf numFmtId="0" fontId="6" fillId="0" borderId="18" xfId="0" applyFont="1" applyBorder="1"/>
    <xf numFmtId="9" fontId="16" fillId="0" borderId="19" xfId="0" applyNumberFormat="1" applyFont="1" applyBorder="1"/>
    <xf numFmtId="9" fontId="2" fillId="2" borderId="4" xfId="0" applyNumberFormat="1" applyFont="1" applyFill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166" fontId="6" fillId="0" borderId="1" xfId="0" applyNumberFormat="1" applyFont="1" applyBorder="1" applyAlignment="1" applyProtection="1">
      <alignment horizontal="right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170" fontId="6" fillId="0" borderId="1" xfId="0" applyNumberFormat="1" applyFont="1" applyBorder="1" applyAlignment="1" applyProtection="1">
      <alignment horizontal="center"/>
      <protection hidden="1"/>
    </xf>
    <xf numFmtId="0" fontId="6" fillId="0" borderId="21" xfId="0" applyFont="1" applyBorder="1"/>
    <xf numFmtId="0" fontId="6" fillId="0" borderId="20" xfId="0" applyFont="1" applyBorder="1"/>
    <xf numFmtId="0" fontId="6" fillId="3" borderId="16" xfId="0" applyFont="1" applyFill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70" fontId="5" fillId="0" borderId="0" xfId="0" applyNumberFormat="1" applyFont="1" applyAlignment="1" applyProtection="1">
      <alignment horizontal="right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169" fontId="5" fillId="0" borderId="2" xfId="0" applyNumberFormat="1" applyFont="1" applyBorder="1" applyAlignment="1" applyProtection="1">
      <alignment horizontal="left"/>
      <protection hidden="1"/>
    </xf>
    <xf numFmtId="170" fontId="6" fillId="0" borderId="2" xfId="0" applyNumberFormat="1" applyFont="1" applyBorder="1" applyAlignment="1" applyProtection="1">
      <alignment horizontal="right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0" fontId="9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0" fontId="22" fillId="0" borderId="0" xfId="0" applyFont="1" applyAlignment="1">
      <alignment horizontal="right"/>
    </xf>
    <xf numFmtId="9" fontId="23" fillId="0" borderId="0" xfId="0" applyNumberFormat="1" applyFont="1"/>
    <xf numFmtId="168" fontId="5" fillId="0" borderId="1" xfId="0" applyNumberFormat="1" applyFont="1" applyBorder="1" applyProtection="1">
      <protection hidden="1"/>
    </xf>
    <xf numFmtId="167" fontId="5" fillId="0" borderId="1" xfId="0" applyNumberFormat="1" applyFont="1" applyBorder="1" applyProtection="1">
      <protection hidden="1"/>
    </xf>
    <xf numFmtId="9" fontId="5" fillId="0" borderId="1" xfId="0" applyNumberFormat="1" applyFont="1" applyBorder="1" applyAlignment="1" applyProtection="1">
      <alignment horizontal="right"/>
      <protection hidden="1"/>
    </xf>
    <xf numFmtId="174" fontId="10" fillId="0" borderId="3" xfId="0" applyNumberFormat="1" applyFont="1" applyBorder="1" applyAlignment="1" applyProtection="1">
      <alignment horizontal="center"/>
      <protection hidden="1"/>
    </xf>
    <xf numFmtId="175" fontId="6" fillId="0" borderId="3" xfId="0" applyNumberFormat="1" applyFont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  <xf numFmtId="167" fontId="9" fillId="0" borderId="1" xfId="0" applyNumberFormat="1" applyFont="1" applyBorder="1" applyAlignment="1" applyProtection="1">
      <alignment horizontal="right"/>
      <protection hidden="1"/>
    </xf>
  </cellXfs>
  <cellStyles count="1">
    <cellStyle name="Standard" xfId="0" builtinId="0"/>
  </cellStyles>
  <dxfs count="23">
    <dxf>
      <font>
        <strike val="0"/>
        <color theme="0"/>
      </font>
    </dxf>
    <dxf>
      <font>
        <color theme="0"/>
      </font>
    </dxf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9"/>
  <sheetViews>
    <sheetView tabSelected="1" zoomScale="102" zoomScaleNormal="135" workbookViewId="0">
      <selection activeCell="F4" sqref="F4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61.5" customHeight="1" x14ac:dyDescent="0.25">
      <c r="A1" s="210" t="s">
        <v>110</v>
      </c>
      <c r="B1" s="210"/>
      <c r="C1" s="210"/>
      <c r="D1" s="210"/>
      <c r="E1" s="210"/>
      <c r="F1" s="210"/>
      <c r="K1" s="3"/>
    </row>
    <row r="2" spans="1:11" s="2" customFormat="1" ht="25" customHeight="1" thickBot="1" x14ac:dyDescent="0.3">
      <c r="A2" s="158"/>
      <c r="B2" s="158"/>
      <c r="C2" s="158"/>
      <c r="D2" s="158"/>
      <c r="E2" s="158"/>
      <c r="F2" s="158"/>
      <c r="K2" s="3"/>
    </row>
    <row r="3" spans="1:11" ht="13" thickBot="1" x14ac:dyDescent="0.3">
      <c r="A3" s="213" t="s">
        <v>106</v>
      </c>
      <c r="B3" s="214"/>
      <c r="C3" s="214"/>
      <c r="D3" s="214"/>
      <c r="E3" s="214"/>
      <c r="F3" s="215"/>
    </row>
    <row r="4" spans="1:11" ht="13" thickBot="1" x14ac:dyDescent="0.3">
      <c r="A4" s="4" t="s">
        <v>0</v>
      </c>
      <c r="B4" s="4"/>
      <c r="C4" s="4"/>
      <c r="D4" s="211" t="s">
        <v>84</v>
      </c>
      <c r="E4" s="211"/>
      <c r="F4" s="151">
        <v>46063</v>
      </c>
    </row>
    <row r="5" spans="1:11" ht="13" thickBot="1" x14ac:dyDescent="0.3">
      <c r="A5" s="5" t="s">
        <v>1</v>
      </c>
      <c r="B5" s="5"/>
      <c r="C5" s="5"/>
      <c r="D5" s="212" t="s">
        <v>2</v>
      </c>
      <c r="E5" s="212"/>
      <c r="F5" s="6">
        <v>0.45833333333333331</v>
      </c>
    </row>
    <row r="6" spans="1:11" ht="13" thickBot="1" x14ac:dyDescent="0.3">
      <c r="A6" s="5" t="s">
        <v>3</v>
      </c>
      <c r="B6" s="5"/>
      <c r="C6" s="5"/>
      <c r="D6" s="89"/>
      <c r="E6" s="89" t="s">
        <v>4</v>
      </c>
      <c r="F6" s="7">
        <v>500</v>
      </c>
    </row>
    <row r="7" spans="1:11" s="63" customFormat="1" ht="40" customHeight="1" thickBot="1" x14ac:dyDescent="0.4">
      <c r="A7" s="145"/>
      <c r="B7" s="1"/>
      <c r="C7" s="1"/>
      <c r="D7" s="1"/>
      <c r="E7" s="176" t="s">
        <v>5</v>
      </c>
      <c r="F7" s="177">
        <f>ROUNDDOWN(B90*86%,-1)</f>
        <v>730</v>
      </c>
    </row>
    <row r="8" spans="1:11" ht="13" customHeight="1" thickBot="1" x14ac:dyDescent="0.3">
      <c r="A8" s="213" t="s">
        <v>6</v>
      </c>
      <c r="B8" s="215"/>
      <c r="C8" s="8"/>
      <c r="D8" s="216" t="s">
        <v>92</v>
      </c>
      <c r="E8" s="217"/>
      <c r="F8" s="218"/>
    </row>
    <row r="9" spans="1:11" ht="13" customHeight="1" thickBot="1" x14ac:dyDescent="0.3">
      <c r="A9" s="4" t="s">
        <v>7</v>
      </c>
      <c r="B9" s="152">
        <v>0</v>
      </c>
      <c r="C9" s="8"/>
      <c r="D9" s="153" t="s">
        <v>8</v>
      </c>
      <c r="E9" s="154"/>
      <c r="F9" s="152">
        <v>0</v>
      </c>
    </row>
    <row r="10" spans="1:11" ht="13" customHeight="1" thickBot="1" x14ac:dyDescent="0.3">
      <c r="A10" s="5" t="s">
        <v>9</v>
      </c>
      <c r="B10" s="9">
        <v>0.5</v>
      </c>
      <c r="C10" s="8"/>
      <c r="D10" s="110" t="s">
        <v>96</v>
      </c>
      <c r="E10" s="111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3" t="s">
        <v>99</v>
      </c>
      <c r="F11" s="9">
        <v>0</v>
      </c>
    </row>
    <row r="12" spans="1:11" ht="13" customHeight="1" thickBot="1" x14ac:dyDescent="0.3">
      <c r="A12" s="22" t="s">
        <v>11</v>
      </c>
      <c r="B12" s="70">
        <v>0.5</v>
      </c>
      <c r="C12" s="8"/>
      <c r="D12" s="110" t="s">
        <v>53</v>
      </c>
      <c r="E12" s="112"/>
      <c r="F12" s="9">
        <v>0</v>
      </c>
    </row>
    <row r="13" spans="1:11" ht="13" customHeight="1" thickBot="1" x14ac:dyDescent="0.3">
      <c r="A13" s="22" t="s">
        <v>12</v>
      </c>
      <c r="B13" s="70">
        <v>0</v>
      </c>
      <c r="C13" s="8"/>
      <c r="D13" s="110" t="s">
        <v>77</v>
      </c>
      <c r="E13" s="112"/>
      <c r="F13" s="9">
        <v>0</v>
      </c>
    </row>
    <row r="14" spans="1:11" ht="13" customHeight="1" thickBot="1" x14ac:dyDescent="0.3">
      <c r="A14" s="22" t="s">
        <v>13</v>
      </c>
      <c r="B14" s="70">
        <v>0</v>
      </c>
      <c r="C14" s="8"/>
      <c r="D14" s="162" t="s">
        <v>72</v>
      </c>
      <c r="E14" s="163"/>
      <c r="F14" s="9">
        <v>0</v>
      </c>
    </row>
    <row r="15" spans="1:11" ht="13" customHeight="1" thickBot="1" x14ac:dyDescent="0.3">
      <c r="A15" s="213" t="s">
        <v>14</v>
      </c>
      <c r="B15" s="215"/>
      <c r="C15" s="8"/>
    </row>
    <row r="16" spans="1:11" ht="13" customHeight="1" thickBot="1" x14ac:dyDescent="0.3">
      <c r="A16" s="3" t="s">
        <v>81</v>
      </c>
      <c r="B16" s="152">
        <v>0</v>
      </c>
      <c r="C16" s="202" t="str">
        <f>IF(B16&gt;30.01%,"max. 30%"," ")</f>
        <v xml:space="preserve"> </v>
      </c>
    </row>
    <row r="17" spans="1:7" ht="13" customHeight="1" thickBot="1" x14ac:dyDescent="0.3">
      <c r="A17" s="22" t="s">
        <v>107</v>
      </c>
      <c r="B17" s="70">
        <v>0</v>
      </c>
      <c r="C17" s="202" t="str">
        <f>IF(B17&gt;15.01%,"max. 15%"," ")</f>
        <v xml:space="preserve"> </v>
      </c>
      <c r="D17" s="208" t="s">
        <v>85</v>
      </c>
      <c r="E17" s="209"/>
      <c r="F17" s="209"/>
    </row>
    <row r="18" spans="1:7" ht="13" customHeight="1" thickBot="1" x14ac:dyDescent="0.3">
      <c r="A18" s="164" t="s">
        <v>89</v>
      </c>
      <c r="B18" s="70">
        <v>0</v>
      </c>
      <c r="C18" s="202" t="str">
        <f>IF(B18&gt;5.01%,"max. 5%"," ")</f>
        <v xml:space="preserve"> </v>
      </c>
      <c r="D18" s="209"/>
      <c r="E18" s="209"/>
      <c r="F18" s="209"/>
    </row>
    <row r="19" spans="1:7" ht="13" customHeight="1" thickBot="1" x14ac:dyDescent="0.3">
      <c r="A19" s="88" t="s">
        <v>71</v>
      </c>
      <c r="B19" s="155">
        <f>SUM(B9:B18)</f>
        <v>1</v>
      </c>
      <c r="D19" s="209"/>
      <c r="E19" s="209"/>
      <c r="F19" s="209"/>
    </row>
    <row r="20" spans="1:7" ht="13" customHeight="1" x14ac:dyDescent="0.25">
      <c r="B20" s="201" t="str">
        <f>IF($B$19=100%," ","Eingabe prüfen. Summe muss 100% sein.")</f>
        <v xml:space="preserve"> </v>
      </c>
    </row>
    <row r="21" spans="1:7" s="10" customFormat="1" ht="50" customHeight="1" x14ac:dyDescent="0.35">
      <c r="A21" s="200" t="s">
        <v>102</v>
      </c>
      <c r="B21" s="200"/>
      <c r="C21" s="200"/>
      <c r="F21" s="12"/>
    </row>
    <row r="22" spans="1:7" s="10" customFormat="1" ht="13" customHeight="1" x14ac:dyDescent="0.25">
      <c r="A22" s="11" t="s">
        <v>83</v>
      </c>
      <c r="B22" s="196" t="s">
        <v>91</v>
      </c>
      <c r="D22" s="197"/>
      <c r="E22" s="186"/>
      <c r="F22" s="187"/>
    </row>
    <row r="23" spans="1:7" s="10" customFormat="1" ht="13" customHeight="1" x14ac:dyDescent="0.25">
      <c r="A23" s="10" t="s">
        <v>108</v>
      </c>
      <c r="B23" s="3" t="s">
        <v>88</v>
      </c>
      <c r="D23" s="197"/>
      <c r="E23" s="186"/>
      <c r="F23" s="187"/>
    </row>
    <row r="24" spans="1:7" s="10" customFormat="1" ht="13" customHeight="1" x14ac:dyDescent="0.25">
      <c r="A24" s="10" t="s">
        <v>15</v>
      </c>
      <c r="B24" s="188">
        <f>B42+B70+B98+B99+B100+B101+B102+B103+B106/2</f>
        <v>500</v>
      </c>
      <c r="C24" s="194" t="s">
        <v>16</v>
      </c>
      <c r="D24" s="197">
        <f>D42+D70+D98+D99+D100+D101+D102+D103+D106/2</f>
        <v>1</v>
      </c>
      <c r="E24" s="186"/>
      <c r="F24" s="187"/>
    </row>
    <row r="25" spans="1:7" s="10" customFormat="1" ht="13" customHeight="1" x14ac:dyDescent="0.25">
      <c r="A25" s="10" t="s">
        <v>76</v>
      </c>
      <c r="B25" s="188">
        <f>B41+B50+B56+B62+B69+B76+B83+B92+B106/2+B116</f>
        <v>345</v>
      </c>
      <c r="C25" s="194" t="s">
        <v>16</v>
      </c>
      <c r="D25" s="197">
        <f>D41+D50+D56+D62+D69+D76+D83+D92+D106/2+D116</f>
        <v>0.70500000000000007</v>
      </c>
      <c r="E25" s="188"/>
      <c r="F25" s="14"/>
      <c r="G25" s="40"/>
    </row>
    <row r="26" spans="1:7" s="10" customFormat="1" ht="50" customHeight="1" x14ac:dyDescent="0.35">
      <c r="A26" s="200" t="s">
        <v>101</v>
      </c>
      <c r="B26" s="4"/>
      <c r="C26"/>
      <c r="D26"/>
      <c r="E26"/>
      <c r="F26"/>
      <c r="G26" s="40"/>
    </row>
    <row r="27" spans="1:7" s="10" customFormat="1" ht="13" customHeight="1" x14ac:dyDescent="0.35">
      <c r="A27" s="3" t="s">
        <v>40</v>
      </c>
      <c r="B27" s="198">
        <f>C174/$B$176*100-C174/$B$176*100*3%</f>
        <v>228.23502704726749</v>
      </c>
      <c r="C27"/>
      <c r="G27" s="40"/>
    </row>
    <row r="28" spans="1:7" s="10" customFormat="1" ht="13" customHeight="1" x14ac:dyDescent="0.35">
      <c r="A28" s="3" t="s">
        <v>41</v>
      </c>
      <c r="B28" s="199">
        <f>D$174/$B$176*100-D$174/$B$176*100*B$177</f>
        <v>44.064228066304253</v>
      </c>
      <c r="C28"/>
      <c r="G28" s="40"/>
    </row>
    <row r="29" spans="1:7" s="10" customFormat="1" ht="13" customHeight="1" x14ac:dyDescent="0.35">
      <c r="A29" s="3" t="s">
        <v>42</v>
      </c>
      <c r="B29" s="199">
        <f>E$174/$B$176*100-E$174/$B$176*100*B$177</f>
        <v>7.606580275888815</v>
      </c>
      <c r="C29"/>
      <c r="G29" s="40"/>
    </row>
    <row r="30" spans="1:7" s="10" customFormat="1" ht="13" customHeight="1" x14ac:dyDescent="0.35">
      <c r="A30" s="3" t="s">
        <v>43</v>
      </c>
      <c r="B30" s="199">
        <f>F$174/$B$176*100-F$174/$B$176*100*B$177</f>
        <v>3.8730470134333648</v>
      </c>
      <c r="C30"/>
      <c r="D30" s="75"/>
      <c r="E30" s="75"/>
      <c r="F30" s="75"/>
      <c r="G30" s="40"/>
    </row>
    <row r="31" spans="1:7" s="10" customFormat="1" ht="13" customHeight="1" x14ac:dyDescent="0.35">
      <c r="A31" s="3" t="s">
        <v>44</v>
      </c>
      <c r="B31" s="199">
        <f>G$174/$B$176*100-G$174/$B$176*100*B$177</f>
        <v>0.91711968332296911</v>
      </c>
      <c r="C31"/>
      <c r="D31" s="75"/>
      <c r="E31" s="75"/>
      <c r="F31" s="75"/>
      <c r="G31" s="40"/>
    </row>
    <row r="32" spans="1:7" s="10" customFormat="1" ht="13" customHeight="1" x14ac:dyDescent="0.35">
      <c r="A32" s="3" t="s">
        <v>28</v>
      </c>
      <c r="B32" s="199">
        <f>B109/B176*100-B109/B176*100*3%</f>
        <v>1.4269188849437993</v>
      </c>
      <c r="C32" s="74"/>
      <c r="D32" s="75"/>
      <c r="E32" s="75"/>
      <c r="F32" s="75"/>
      <c r="G32" s="40"/>
    </row>
    <row r="33" spans="1:7" s="10" customFormat="1" ht="50" customHeight="1" x14ac:dyDescent="0.35">
      <c r="A33" s="200" t="s">
        <v>105</v>
      </c>
      <c r="B33" s="109"/>
      <c r="C33" s="74"/>
      <c r="G33" s="40"/>
    </row>
    <row r="34" spans="1:7" s="10" customFormat="1" ht="13" customHeight="1" x14ac:dyDescent="0.35">
      <c r="A34" s="3" t="s">
        <v>103</v>
      </c>
      <c r="B34" s="109"/>
      <c r="C34" s="74"/>
      <c r="G34" s="40"/>
    </row>
    <row r="35" spans="1:7" s="10" customFormat="1" ht="13" customHeight="1" x14ac:dyDescent="0.35">
      <c r="A35" s="3" t="s">
        <v>104</v>
      </c>
      <c r="B35" s="109"/>
      <c r="C35" s="74"/>
      <c r="G35" s="40"/>
    </row>
    <row r="36" spans="1:7" s="10" customFormat="1" ht="39.5" customHeight="1" x14ac:dyDescent="0.25">
      <c r="A36" s="188"/>
      <c r="B36" s="188"/>
      <c r="C36" s="188"/>
      <c r="D36" s="188"/>
      <c r="E36" s="188"/>
      <c r="F36" s="188"/>
    </row>
    <row r="37" spans="1:7" s="17" customFormat="1" x14ac:dyDescent="0.35">
      <c r="B37" s="18" t="s">
        <v>17</v>
      </c>
      <c r="C37" s="19" t="s">
        <v>18</v>
      </c>
      <c r="D37" s="20" t="s">
        <v>19</v>
      </c>
      <c r="E37" s="21" t="s">
        <v>20</v>
      </c>
      <c r="F37" s="21" t="s">
        <v>21</v>
      </c>
    </row>
    <row r="38" spans="1:7" s="28" customFormat="1" ht="17.5" x14ac:dyDescent="0.35">
      <c r="A38" s="189" t="s">
        <v>74</v>
      </c>
      <c r="B38" s="23"/>
      <c r="C38" s="24"/>
      <c r="D38" s="25"/>
      <c r="E38" s="26"/>
      <c r="F38" s="27"/>
    </row>
    <row r="39" spans="1:7" s="28" customFormat="1" x14ac:dyDescent="0.25">
      <c r="A39" s="22" t="str">
        <f>IF(B16=0,"1.a entfällt","1.a Poolish")</f>
        <v>1.a entfällt</v>
      </c>
      <c r="B39" s="143">
        <f>SUM(B40:B43)</f>
        <v>0</v>
      </c>
      <c r="C39" s="24"/>
      <c r="D39" s="144">
        <f>SUM(D40:D43)</f>
        <v>0</v>
      </c>
      <c r="E39" s="26"/>
      <c r="F39" s="27"/>
    </row>
    <row r="40" spans="1:7" s="28" customFormat="1" x14ac:dyDescent="0.25">
      <c r="A40" s="130" t="s">
        <v>66</v>
      </c>
      <c r="B40" s="125"/>
      <c r="C40" s="126"/>
      <c r="D40" s="127"/>
      <c r="E40" s="128">
        <v>3.472222222222222E-3</v>
      </c>
      <c r="F40" s="129">
        <f>F45-E40</f>
        <v>46062.402777777788</v>
      </c>
    </row>
    <row r="41" spans="1:7" s="28" customFormat="1" x14ac:dyDescent="0.25">
      <c r="A41" s="124" t="s">
        <v>22</v>
      </c>
      <c r="B41" s="125">
        <f>$F$6*D41</f>
        <v>0</v>
      </c>
      <c r="C41" s="192">
        <v>16</v>
      </c>
      <c r="D41" s="127">
        <f>D42*1.05</f>
        <v>0</v>
      </c>
      <c r="E41" s="128"/>
      <c r="F41" s="129"/>
    </row>
    <row r="42" spans="1:7" s="28" customFormat="1" x14ac:dyDescent="0.25">
      <c r="A42" s="124" t="s">
        <v>9</v>
      </c>
      <c r="B42" s="125">
        <f>$F$6*D42</f>
        <v>0</v>
      </c>
      <c r="C42" s="126"/>
      <c r="D42" s="127">
        <f>B16</f>
        <v>0</v>
      </c>
      <c r="E42" s="128"/>
      <c r="F42" s="129"/>
    </row>
    <row r="43" spans="1:7" s="28" customFormat="1" x14ac:dyDescent="0.25">
      <c r="A43" s="124" t="s">
        <v>87</v>
      </c>
      <c r="B43" s="131">
        <f>$F$6*D43</f>
        <v>0</v>
      </c>
      <c r="C43" s="36">
        <v>21</v>
      </c>
      <c r="D43" s="193">
        <f>D42*0.2%</f>
        <v>0</v>
      </c>
      <c r="E43" s="128"/>
      <c r="F43" s="129"/>
    </row>
    <row r="44" spans="1:7" s="28" customFormat="1" ht="13" thickBot="1" x14ac:dyDescent="0.3">
      <c r="A44" s="132" t="s">
        <v>82</v>
      </c>
      <c r="B44" s="133"/>
      <c r="C44" s="134"/>
      <c r="D44" s="135"/>
      <c r="E44" s="136"/>
      <c r="F44" s="129"/>
    </row>
    <row r="45" spans="1:7" s="28" customFormat="1" ht="13" thickBot="1" x14ac:dyDescent="0.3">
      <c r="A45" s="65" t="s">
        <v>122</v>
      </c>
      <c r="B45" s="138"/>
      <c r="C45" s="139">
        <v>21</v>
      </c>
      <c r="D45" s="140" t="s">
        <v>32</v>
      </c>
      <c r="E45" s="141">
        <v>0.375</v>
      </c>
      <c r="F45" s="147">
        <f>$F$91-E45</f>
        <v>46062.406250000007</v>
      </c>
    </row>
    <row r="46" spans="1:7" s="28" customFormat="1" x14ac:dyDescent="0.25">
      <c r="A46" s="137"/>
      <c r="B46" s="125"/>
      <c r="C46" s="126"/>
      <c r="D46" s="127"/>
      <c r="E46" s="128"/>
      <c r="F46" s="129"/>
    </row>
    <row r="47" spans="1:7" s="11" customFormat="1" x14ac:dyDescent="0.25">
      <c r="A47" s="22" t="str">
        <f>IF($F$10=0,"1.b entfällt","1.b Quellstück: Nüsse o. Sonnenblumenkerne")</f>
        <v>1.b entfällt</v>
      </c>
      <c r="B47" s="29"/>
      <c r="C47" s="30">
        <v>21</v>
      </c>
      <c r="D47" s="31">
        <f>SUM(D50:D50)</f>
        <v>0</v>
      </c>
      <c r="E47" s="32"/>
      <c r="F47" s="33"/>
    </row>
    <row r="48" spans="1:7" s="14" customFormat="1" x14ac:dyDescent="0.25">
      <c r="A48" s="76" t="s">
        <v>23</v>
      </c>
      <c r="B48" s="190">
        <f>SUM(B49:B50)</f>
        <v>0</v>
      </c>
      <c r="C48" s="78"/>
      <c r="D48" s="79"/>
      <c r="E48" s="49">
        <v>3.472222222222222E-3</v>
      </c>
      <c r="F48" s="50">
        <f>F51-E48</f>
        <v>46062.406250000007</v>
      </c>
    </row>
    <row r="49" spans="1:6" s="11" customFormat="1" x14ac:dyDescent="0.25">
      <c r="A49" s="34" t="s">
        <v>97</v>
      </c>
      <c r="B49" s="35">
        <f>D49*F$6</f>
        <v>0</v>
      </c>
      <c r="C49" s="36"/>
      <c r="D49" s="37">
        <f>F10</f>
        <v>0</v>
      </c>
      <c r="E49" s="41"/>
      <c r="F49" s="39"/>
    </row>
    <row r="50" spans="1:6" s="10" customFormat="1" x14ac:dyDescent="0.25">
      <c r="A50" s="56" t="s">
        <v>22</v>
      </c>
      <c r="B50" s="35">
        <f>D50*F$6</f>
        <v>0</v>
      </c>
      <c r="C50" s="36">
        <v>16</v>
      </c>
      <c r="D50" s="37">
        <f>D49*2</f>
        <v>0</v>
      </c>
      <c r="E50" s="38"/>
      <c r="F50" s="39"/>
    </row>
    <row r="51" spans="1:6" s="11" customFormat="1" x14ac:dyDescent="0.25">
      <c r="A51" s="34" t="s">
        <v>86</v>
      </c>
      <c r="B51" s="35"/>
      <c r="C51" s="36">
        <v>21</v>
      </c>
      <c r="D51" s="37"/>
      <c r="E51" s="38">
        <v>0.37152777777777779</v>
      </c>
      <c r="F51" s="39">
        <f>F$91-E51</f>
        <v>46062.409722222226</v>
      </c>
    </row>
    <row r="52" spans="1:6" s="10" customFormat="1" x14ac:dyDescent="0.25">
      <c r="A52" s="118"/>
      <c r="B52" s="119"/>
      <c r="C52" s="120"/>
      <c r="D52" s="121"/>
      <c r="E52" s="122"/>
      <c r="F52" s="123"/>
    </row>
    <row r="53" spans="1:6" s="10" customFormat="1" x14ac:dyDescent="0.25">
      <c r="A53" s="22" t="str">
        <f>IF($F$11=0,"1.c entfällt","1.c Quellstück: Leinsaat o. Sesam")</f>
        <v>1.c entfällt</v>
      </c>
      <c r="B53" s="143">
        <f>SUM(B54:B56)</f>
        <v>0</v>
      </c>
      <c r="C53" s="178"/>
      <c r="D53" s="144">
        <f>SUM(D54:D56)</f>
        <v>0</v>
      </c>
      <c r="E53" s="179"/>
      <c r="F53" s="180"/>
    </row>
    <row r="54" spans="1:6" s="11" customFormat="1" x14ac:dyDescent="0.25">
      <c r="A54" s="181" t="s">
        <v>23</v>
      </c>
      <c r="B54" s="182"/>
      <c r="C54" s="183"/>
      <c r="D54" s="184"/>
      <c r="E54" s="185">
        <v>3.472222222222222E-3</v>
      </c>
      <c r="F54" s="206">
        <f>F58-E54</f>
        <v>46062.409722222234</v>
      </c>
    </row>
    <row r="55" spans="1:6" s="10" customFormat="1" x14ac:dyDescent="0.25">
      <c r="A55" s="118" t="s">
        <v>50</v>
      </c>
      <c r="B55" s="35">
        <f>D55*F$6</f>
        <v>0</v>
      </c>
      <c r="C55" s="120"/>
      <c r="D55" s="121">
        <f>F11</f>
        <v>0</v>
      </c>
      <c r="E55" s="122"/>
      <c r="F55" s="123"/>
    </row>
    <row r="56" spans="1:6" s="10" customFormat="1" x14ac:dyDescent="0.25">
      <c r="A56" s="118" t="s">
        <v>22</v>
      </c>
      <c r="B56" s="35">
        <f>D56*F$6</f>
        <v>0</v>
      </c>
      <c r="C56" s="120">
        <v>16</v>
      </c>
      <c r="D56" s="121">
        <f>D55*2</f>
        <v>0</v>
      </c>
      <c r="E56" s="122"/>
      <c r="F56" s="123"/>
    </row>
    <row r="57" spans="1:6" s="10" customFormat="1" x14ac:dyDescent="0.25">
      <c r="A57" s="118" t="s">
        <v>100</v>
      </c>
      <c r="B57" s="119"/>
      <c r="C57" s="120"/>
      <c r="D57" s="121"/>
      <c r="E57" s="122"/>
      <c r="F57" s="123"/>
    </row>
    <row r="58" spans="1:6" s="10" customFormat="1" x14ac:dyDescent="0.25">
      <c r="A58" s="118" t="s">
        <v>86</v>
      </c>
      <c r="B58" s="119"/>
      <c r="C58" s="120">
        <v>21</v>
      </c>
      <c r="D58" s="121"/>
      <c r="E58" s="122">
        <f>E51-E54</f>
        <v>0.36805555555555558</v>
      </c>
      <c r="F58" s="207">
        <f>F91-E58</f>
        <v>46062.413194444453</v>
      </c>
    </row>
    <row r="59" spans="1:6" s="10" customFormat="1" x14ac:dyDescent="0.25">
      <c r="A59" s="87"/>
      <c r="B59" s="165"/>
      <c r="C59" s="166"/>
      <c r="D59" s="167"/>
      <c r="E59" s="168"/>
      <c r="F59" s="169"/>
    </row>
    <row r="60" spans="1:6" s="10" customFormat="1" x14ac:dyDescent="0.25">
      <c r="A60" s="22" t="str">
        <f>IF($F$12=0,"1.d entfällt","1.d Kochstück: Haferflocken")</f>
        <v>1.d entfällt</v>
      </c>
      <c r="B60" s="29">
        <f>SUM(B62:B63)</f>
        <v>0</v>
      </c>
      <c r="C60" s="30">
        <v>21</v>
      </c>
      <c r="D60" s="31">
        <f>SUM(D62:D63)</f>
        <v>0</v>
      </c>
      <c r="E60" s="32"/>
      <c r="F60" s="33"/>
    </row>
    <row r="61" spans="1:6" s="11" customFormat="1" x14ac:dyDescent="0.25">
      <c r="A61" s="76" t="s">
        <v>66</v>
      </c>
      <c r="B61" s="77"/>
      <c r="C61" s="78"/>
      <c r="D61" s="79"/>
    </row>
    <row r="62" spans="1:6" s="10" customFormat="1" x14ac:dyDescent="0.25">
      <c r="A62" s="34" t="s">
        <v>22</v>
      </c>
      <c r="B62" s="35">
        <f>D62*F$6</f>
        <v>0</v>
      </c>
      <c r="C62" s="36">
        <v>95</v>
      </c>
      <c r="D62" s="37">
        <f>D63*3</f>
        <v>0</v>
      </c>
      <c r="E62" s="38"/>
      <c r="F62" s="39"/>
    </row>
    <row r="63" spans="1:6" s="10" customFormat="1" x14ac:dyDescent="0.25">
      <c r="A63" s="34" t="s">
        <v>53</v>
      </c>
      <c r="B63" s="35">
        <f>D63*F$6</f>
        <v>0</v>
      </c>
      <c r="C63" s="36"/>
      <c r="D63" s="37">
        <f>F12</f>
        <v>0</v>
      </c>
      <c r="E63" s="41"/>
      <c r="F63" s="39"/>
    </row>
    <row r="64" spans="1:6" s="10" customFormat="1" x14ac:dyDescent="0.25">
      <c r="A64" s="76" t="s">
        <v>109</v>
      </c>
      <c r="B64" s="35"/>
      <c r="C64" s="36"/>
      <c r="D64" s="37"/>
      <c r="E64" s="49">
        <v>6.9444444444444441E-3</v>
      </c>
      <c r="F64" s="50">
        <f>F65-E64</f>
        <v>46062.413194444453</v>
      </c>
    </row>
    <row r="65" spans="1:6" s="10" customFormat="1" x14ac:dyDescent="0.25">
      <c r="A65" s="34" t="s">
        <v>86</v>
      </c>
      <c r="B65" s="35"/>
      <c r="C65" s="36">
        <v>21</v>
      </c>
      <c r="D65" s="37"/>
      <c r="E65" s="38">
        <f>E58-E64</f>
        <v>0.36111111111111116</v>
      </c>
      <c r="F65" s="39">
        <f>F$91-E65</f>
        <v>46062.420138888898</v>
      </c>
    </row>
    <row r="66" spans="1:6" s="10" customFormat="1" x14ac:dyDescent="0.25">
      <c r="A66" s="118"/>
      <c r="B66" s="119"/>
      <c r="C66" s="120"/>
      <c r="D66" s="121"/>
      <c r="E66" s="122"/>
      <c r="F66" s="123"/>
    </row>
    <row r="67" spans="1:6" s="10" customFormat="1" x14ac:dyDescent="0.25">
      <c r="A67" s="22" t="str">
        <f>IF($B$17=0,"1.e entfällt","1.e Brühstück: Dinkelvollkornmehl")</f>
        <v>1.e entfällt</v>
      </c>
      <c r="B67" s="29">
        <f>SUM(B69:B70)</f>
        <v>0</v>
      </c>
      <c r="C67" s="30"/>
      <c r="D67" s="31">
        <f>SUM(D69:D72)</f>
        <v>0</v>
      </c>
      <c r="E67" s="32"/>
      <c r="F67" s="33"/>
    </row>
    <row r="68" spans="1:6" s="11" customFormat="1" x14ac:dyDescent="0.25">
      <c r="A68" s="76" t="s">
        <v>66</v>
      </c>
      <c r="B68" s="77"/>
      <c r="C68" s="78"/>
      <c r="D68" s="79"/>
    </row>
    <row r="69" spans="1:6" s="10" customFormat="1" x14ac:dyDescent="0.25">
      <c r="A69" s="34" t="s">
        <v>22</v>
      </c>
      <c r="B69" s="35">
        <f>D69*F$6</f>
        <v>0</v>
      </c>
      <c r="C69" s="36">
        <v>100</v>
      </c>
      <c r="D69" s="37">
        <f>D70*2.4</f>
        <v>0</v>
      </c>
      <c r="E69" s="38"/>
      <c r="F69" s="39"/>
    </row>
    <row r="70" spans="1:6" s="10" customFormat="1" x14ac:dyDescent="0.25">
      <c r="A70" s="106" t="s">
        <v>11</v>
      </c>
      <c r="B70" s="15">
        <f>D70*F$6</f>
        <v>0</v>
      </c>
      <c r="C70" s="105"/>
      <c r="D70" s="16">
        <f>B17</f>
        <v>0</v>
      </c>
      <c r="E70" s="41"/>
      <c r="F70" s="39"/>
    </row>
    <row r="71" spans="1:6" s="10" customFormat="1" x14ac:dyDescent="0.25">
      <c r="A71" s="108" t="s">
        <v>67</v>
      </c>
      <c r="B71" s="15"/>
      <c r="C71" s="105"/>
      <c r="D71" s="16"/>
      <c r="E71" s="49">
        <v>6.9444444444444441E-3</v>
      </c>
      <c r="F71" s="50">
        <f>F72-E71</f>
        <v>46062.420138888898</v>
      </c>
    </row>
    <row r="72" spans="1:6" s="10" customFormat="1" x14ac:dyDescent="0.25">
      <c r="A72" s="34" t="s">
        <v>86</v>
      </c>
      <c r="B72" s="35"/>
      <c r="C72" s="36">
        <v>21</v>
      </c>
      <c r="D72" s="37"/>
      <c r="E72" s="38">
        <f>E65-E71</f>
        <v>0.35416666666666674</v>
      </c>
      <c r="F72" s="39">
        <f>F$91-E72</f>
        <v>46062.427083333343</v>
      </c>
    </row>
    <row r="74" spans="1:6" s="10" customFormat="1" x14ac:dyDescent="0.25">
      <c r="A74" s="116" t="str">
        <f>IF(F13=0,"1.f entfällt","1.f Kochstück: Körner")</f>
        <v>1.f entfällt</v>
      </c>
      <c r="B74" s="29">
        <f>SUM(B75:B77)</f>
        <v>0</v>
      </c>
      <c r="C74" s="148"/>
      <c r="D74" s="31">
        <f>SUM(D75:D77)</f>
        <v>0</v>
      </c>
      <c r="E74" s="149"/>
      <c r="F74" s="150"/>
    </row>
    <row r="75" spans="1:6" s="11" customFormat="1" x14ac:dyDescent="0.25">
      <c r="A75" s="80" t="s">
        <v>78</v>
      </c>
      <c r="B75" s="35"/>
      <c r="C75" s="43"/>
      <c r="D75" s="37"/>
      <c r="E75" s="49">
        <v>6.9444444444444441E-3</v>
      </c>
      <c r="F75" s="50">
        <f>F78-E75</f>
        <v>46062.385416666679</v>
      </c>
    </row>
    <row r="76" spans="1:6" s="10" customFormat="1" x14ac:dyDescent="0.25">
      <c r="A76" s="13" t="s">
        <v>22</v>
      </c>
      <c r="B76" s="35">
        <f>$F$6*D76</f>
        <v>0</v>
      </c>
      <c r="C76" s="43">
        <v>95</v>
      </c>
      <c r="D76" s="37">
        <f>D77*3</f>
        <v>0</v>
      </c>
      <c r="E76" s="38"/>
      <c r="F76" s="117"/>
    </row>
    <row r="77" spans="1:6" s="10" customFormat="1" x14ac:dyDescent="0.25">
      <c r="A77" s="13" t="s">
        <v>79</v>
      </c>
      <c r="B77" s="35">
        <f>$F$6*D77</f>
        <v>0</v>
      </c>
      <c r="C77" s="43"/>
      <c r="D77" s="37">
        <f>F13</f>
        <v>0</v>
      </c>
      <c r="E77" s="38"/>
      <c r="F77" s="117"/>
    </row>
    <row r="78" spans="1:6" s="10" customFormat="1" x14ac:dyDescent="0.25">
      <c r="A78" s="80" t="s">
        <v>80</v>
      </c>
      <c r="B78" s="35"/>
      <c r="C78" s="43"/>
      <c r="D78" s="37"/>
      <c r="E78" s="38">
        <v>4.1666666666666664E-2</v>
      </c>
      <c r="F78" s="39">
        <f>F79-E78</f>
        <v>46062.392361111124</v>
      </c>
    </row>
    <row r="79" spans="1:6" s="10" customFormat="1" x14ac:dyDescent="0.25">
      <c r="A79" s="34" t="s">
        <v>86</v>
      </c>
      <c r="B79" s="35"/>
      <c r="C79" s="43"/>
      <c r="D79" s="37"/>
      <c r="E79" s="38">
        <f>E72-E75</f>
        <v>0.34722222222222232</v>
      </c>
      <c r="F79" s="39">
        <f>F91-E79</f>
        <v>46062.434027777788</v>
      </c>
    </row>
    <row r="80" spans="1:6" s="10" customFormat="1" x14ac:dyDescent="0.25">
      <c r="A80" s="123"/>
      <c r="B80" s="119"/>
      <c r="C80" s="156"/>
      <c r="D80" s="121"/>
      <c r="E80" s="122"/>
      <c r="F80" s="157"/>
    </row>
    <row r="81" spans="1:8" s="10" customFormat="1" x14ac:dyDescent="0.25">
      <c r="A81" s="22" t="str">
        <f>IF($F$9=0,"1.g entfällt","1.g Brühstück: Röstbrot")</f>
        <v>1.g entfällt</v>
      </c>
      <c r="B81" s="29">
        <f>SUM(B83:B87)</f>
        <v>0</v>
      </c>
      <c r="C81" s="30"/>
      <c r="D81" s="31">
        <f>SUM(D83:D87)</f>
        <v>0</v>
      </c>
      <c r="E81" s="32"/>
      <c r="F81" s="33"/>
    </row>
    <row r="82" spans="1:8" s="10" customFormat="1" x14ac:dyDescent="0.25">
      <c r="A82" s="76" t="s">
        <v>66</v>
      </c>
      <c r="B82" s="77"/>
      <c r="C82" s="78"/>
      <c r="D82" s="79"/>
      <c r="E82" s="49">
        <v>6.9444444444444441E-3</v>
      </c>
      <c r="F82" s="50">
        <f>F85-E82</f>
        <v>46062.392361111117</v>
      </c>
    </row>
    <row r="83" spans="1:8" s="10" customFormat="1" x14ac:dyDescent="0.25">
      <c r="A83" s="34" t="s">
        <v>22</v>
      </c>
      <c r="B83" s="35">
        <f>D83*F$6</f>
        <v>0</v>
      </c>
      <c r="C83" s="36">
        <v>100</v>
      </c>
      <c r="D83" s="37">
        <f>D84*3.3</f>
        <v>0</v>
      </c>
      <c r="E83" s="38"/>
      <c r="F83" s="39"/>
    </row>
    <row r="84" spans="1:8" s="10" customFormat="1" x14ac:dyDescent="0.25">
      <c r="A84" s="34" t="s">
        <v>98</v>
      </c>
      <c r="B84" s="35">
        <f>D84*F$6</f>
        <v>0</v>
      </c>
      <c r="C84" s="36"/>
      <c r="D84" s="37">
        <f>F9</f>
        <v>0</v>
      </c>
      <c r="E84" s="38"/>
      <c r="F84" s="39"/>
    </row>
    <row r="85" spans="1:8" s="10" customFormat="1" x14ac:dyDescent="0.25">
      <c r="A85" s="76" t="s">
        <v>68</v>
      </c>
      <c r="B85" s="77"/>
      <c r="C85" s="78"/>
      <c r="D85" s="79"/>
      <c r="E85" s="38">
        <v>4.1666666666666664E-2</v>
      </c>
      <c r="F85" s="39">
        <f>F87-E85</f>
        <v>46062.399305555562</v>
      </c>
    </row>
    <row r="86" spans="1:8" s="10" customFormat="1" x14ac:dyDescent="0.25">
      <c r="A86" s="76" t="s">
        <v>69</v>
      </c>
      <c r="B86" s="77"/>
      <c r="C86" s="78"/>
      <c r="D86" s="79"/>
      <c r="E86" s="49"/>
      <c r="F86" s="50"/>
    </row>
    <row r="87" spans="1:8" s="10" customFormat="1" x14ac:dyDescent="0.25">
      <c r="A87" s="44" t="s">
        <v>86</v>
      </c>
      <c r="B87" s="35"/>
      <c r="C87" s="36">
        <v>21</v>
      </c>
      <c r="D87" s="37"/>
      <c r="E87" s="38">
        <f>E79-E82</f>
        <v>0.3402777777777779</v>
      </c>
      <c r="F87" s="39">
        <f>F$91-E87</f>
        <v>46062.440972222226</v>
      </c>
    </row>
    <row r="88" spans="1:8" s="10" customFormat="1" x14ac:dyDescent="0.25">
      <c r="A88" s="174"/>
      <c r="B88" s="15"/>
      <c r="C88" s="105"/>
      <c r="D88" s="16"/>
      <c r="E88" s="41"/>
      <c r="F88" s="175" t="s">
        <v>93</v>
      </c>
    </row>
    <row r="89" spans="1:8" s="10" customFormat="1" x14ac:dyDescent="0.25">
      <c r="A89" s="40"/>
      <c r="B89" s="18" t="s">
        <v>17</v>
      </c>
      <c r="C89" s="19" t="s">
        <v>18</v>
      </c>
      <c r="D89" s="20" t="s">
        <v>19</v>
      </c>
      <c r="E89" s="21" t="s">
        <v>20</v>
      </c>
      <c r="F89" s="21" t="s">
        <v>21</v>
      </c>
    </row>
    <row r="90" spans="1:8" s="28" customFormat="1" ht="17.5" x14ac:dyDescent="0.35">
      <c r="A90" s="189" t="s">
        <v>24</v>
      </c>
      <c r="B90" s="113">
        <f>SUM(B91:B116)</f>
        <v>859.65</v>
      </c>
      <c r="C90" s="114"/>
      <c r="D90" s="115">
        <f>SUM(D91:D109)</f>
        <v>1.7042999999999999</v>
      </c>
      <c r="E90" s="32"/>
      <c r="F90" s="33"/>
    </row>
    <row r="91" spans="1:8" s="11" customFormat="1" x14ac:dyDescent="0.25">
      <c r="A91" s="76" t="s">
        <v>66</v>
      </c>
      <c r="B91" s="77"/>
      <c r="C91" s="78"/>
      <c r="D91" s="79"/>
      <c r="E91" s="49">
        <v>6.9444444444444441E-3</v>
      </c>
      <c r="F91" s="50">
        <f>F108-E91</f>
        <v>46062.781250000007</v>
      </c>
    </row>
    <row r="92" spans="1:8" s="10" customFormat="1" x14ac:dyDescent="0.25">
      <c r="A92" s="42" t="s">
        <v>22</v>
      </c>
      <c r="B92" s="35">
        <f>ROUNDDOWN((D92*F$6),-1)</f>
        <v>330</v>
      </c>
      <c r="C92" s="36">
        <v>16</v>
      </c>
      <c r="D92" s="37">
        <f>B9*0.6+(B10+B16)*0.65+(B11+B12+B17+B18)*0.7+B13*0.75+B14*0.8+F14*10-D41-(D62+D69+D83+D106)*0.6-(D50+D56+D76)*0.1</f>
        <v>0.67500000000000004</v>
      </c>
      <c r="E92" s="38"/>
      <c r="F92" s="39"/>
    </row>
    <row r="93" spans="1:8" s="10" customFormat="1" x14ac:dyDescent="0.25">
      <c r="A93" s="34" t="str">
        <f>A39</f>
        <v>1.a entfällt</v>
      </c>
      <c r="B93" s="35">
        <f>B39</f>
        <v>0</v>
      </c>
      <c r="C93" s="120">
        <v>21</v>
      </c>
      <c r="D93" s="37">
        <f>D41</f>
        <v>0</v>
      </c>
      <c r="E93" s="38"/>
      <c r="F93" s="39"/>
    </row>
    <row r="94" spans="1:8" s="10" customFormat="1" x14ac:dyDescent="0.25">
      <c r="A94" s="34" t="str">
        <f>A60</f>
        <v>1.d entfällt</v>
      </c>
      <c r="B94" s="35">
        <f>B63+B62*75%</f>
        <v>0</v>
      </c>
      <c r="C94" s="36">
        <v>21</v>
      </c>
      <c r="D94" s="37">
        <f>D60</f>
        <v>0</v>
      </c>
      <c r="E94" s="38"/>
      <c r="F94" s="39"/>
    </row>
    <row r="95" spans="1:8" s="10" customFormat="1" x14ac:dyDescent="0.25">
      <c r="A95" s="42" t="str">
        <f>A67</f>
        <v>1.e entfällt</v>
      </c>
      <c r="B95" s="119">
        <f>D95*F$6</f>
        <v>0</v>
      </c>
      <c r="C95" s="120">
        <v>21</v>
      </c>
      <c r="D95" s="121">
        <f>D67</f>
        <v>0</v>
      </c>
      <c r="E95" s="122"/>
      <c r="F95" s="142"/>
      <c r="H95" s="45"/>
    </row>
    <row r="96" spans="1:8" s="10" customFormat="1" x14ac:dyDescent="0.25">
      <c r="A96" s="42" t="str">
        <f>A81</f>
        <v>1.g entfällt</v>
      </c>
      <c r="B96" s="35">
        <f>D96*F$6</f>
        <v>0</v>
      </c>
      <c r="C96" s="36">
        <v>21</v>
      </c>
      <c r="D96" s="37">
        <f>D81</f>
        <v>0</v>
      </c>
      <c r="E96" s="38"/>
      <c r="F96" s="39"/>
    </row>
    <row r="97" spans="1:6" s="10" customFormat="1" x14ac:dyDescent="0.25">
      <c r="A97" s="56" t="s">
        <v>95</v>
      </c>
      <c r="B97" s="107">
        <f>D97*F$6</f>
        <v>3.4999999999999996</v>
      </c>
      <c r="C97" s="36">
        <v>5</v>
      </c>
      <c r="D97" s="71">
        <f>0.7%-D43*10</f>
        <v>6.9999999999999993E-3</v>
      </c>
      <c r="E97" s="38"/>
      <c r="F97" s="39"/>
    </row>
    <row r="98" spans="1:6" s="10" customFormat="1" x14ac:dyDescent="0.25">
      <c r="A98" s="34" t="s">
        <v>7</v>
      </c>
      <c r="B98" s="35">
        <f t="shared" ref="B98:B116" si="0">D98*F$6</f>
        <v>0</v>
      </c>
      <c r="C98" s="36"/>
      <c r="D98" s="37">
        <f t="shared" ref="D98:D103" si="1">B9</f>
        <v>0</v>
      </c>
      <c r="E98" s="38"/>
      <c r="F98" s="39"/>
    </row>
    <row r="99" spans="1:6" s="10" customFormat="1" x14ac:dyDescent="0.25">
      <c r="A99" s="34" t="s">
        <v>9</v>
      </c>
      <c r="B99" s="35">
        <f t="shared" si="0"/>
        <v>250</v>
      </c>
      <c r="C99" s="36"/>
      <c r="D99" s="37">
        <f t="shared" si="1"/>
        <v>0.5</v>
      </c>
      <c r="E99" s="38"/>
      <c r="F99" s="39"/>
    </row>
    <row r="100" spans="1:6" s="10" customFormat="1" x14ac:dyDescent="0.25">
      <c r="A100" s="34" t="s">
        <v>10</v>
      </c>
      <c r="B100" s="35">
        <f t="shared" si="0"/>
        <v>0</v>
      </c>
      <c r="C100" s="36"/>
      <c r="D100" s="37">
        <f t="shared" si="1"/>
        <v>0</v>
      </c>
      <c r="E100" s="38"/>
      <c r="F100" s="39"/>
    </row>
    <row r="101" spans="1:6" s="10" customFormat="1" x14ac:dyDescent="0.25">
      <c r="A101" s="34" t="s">
        <v>11</v>
      </c>
      <c r="B101" s="35">
        <f t="shared" si="0"/>
        <v>250</v>
      </c>
      <c r="C101" s="36"/>
      <c r="D101" s="37">
        <f t="shared" si="1"/>
        <v>0.5</v>
      </c>
      <c r="E101" s="38"/>
      <c r="F101" s="39"/>
    </row>
    <row r="102" spans="1:6" s="10" customFormat="1" x14ac:dyDescent="0.25">
      <c r="A102" s="34" t="s">
        <v>25</v>
      </c>
      <c r="B102" s="35">
        <f t="shared" si="0"/>
        <v>0</v>
      </c>
      <c r="C102" s="36"/>
      <c r="D102" s="37">
        <f t="shared" si="1"/>
        <v>0</v>
      </c>
      <c r="E102" s="38"/>
      <c r="F102" s="39"/>
    </row>
    <row r="103" spans="1:6" s="10" customFormat="1" x14ac:dyDescent="0.25">
      <c r="A103" s="34" t="s">
        <v>13</v>
      </c>
      <c r="B103" s="35">
        <f t="shared" si="0"/>
        <v>0</v>
      </c>
      <c r="C103" s="36"/>
      <c r="D103" s="37">
        <f t="shared" si="1"/>
        <v>0</v>
      </c>
      <c r="E103" s="38"/>
      <c r="F103" s="39"/>
    </row>
    <row r="104" spans="1:6" s="10" customFormat="1" x14ac:dyDescent="0.25">
      <c r="A104" s="34" t="s">
        <v>72</v>
      </c>
      <c r="B104" s="35">
        <f>D104*F$6</f>
        <v>0</v>
      </c>
      <c r="C104" s="36"/>
      <c r="D104" s="37">
        <f>F14</f>
        <v>0</v>
      </c>
      <c r="E104" s="38"/>
      <c r="F104" s="39"/>
    </row>
    <row r="105" spans="1:6" s="48" customFormat="1" x14ac:dyDescent="0.25">
      <c r="A105" s="56" t="s">
        <v>26</v>
      </c>
      <c r="B105" s="195">
        <f>D105*F$6</f>
        <v>0.15</v>
      </c>
      <c r="C105" s="47"/>
      <c r="D105" s="219">
        <v>2.9999999999999997E-4</v>
      </c>
      <c r="E105" s="72"/>
      <c r="F105" s="73"/>
    </row>
    <row r="106" spans="1:6" s="10" customFormat="1" x14ac:dyDescent="0.25">
      <c r="A106" s="56" t="s">
        <v>90</v>
      </c>
      <c r="B106" s="159">
        <f>D106*F$6</f>
        <v>0</v>
      </c>
      <c r="C106" s="36">
        <v>5</v>
      </c>
      <c r="D106" s="37">
        <f>B18*2</f>
        <v>0</v>
      </c>
      <c r="E106" s="160"/>
      <c r="F106" s="161"/>
    </row>
    <row r="107" spans="1:6" s="48" customFormat="1" x14ac:dyDescent="0.25">
      <c r="A107" s="76" t="s">
        <v>70</v>
      </c>
      <c r="B107" s="104"/>
      <c r="C107" s="47"/>
      <c r="D107" s="71"/>
      <c r="E107" s="72"/>
      <c r="F107" s="73"/>
    </row>
    <row r="108" spans="1:6" s="10" customFormat="1" x14ac:dyDescent="0.25">
      <c r="A108" s="34" t="s">
        <v>27</v>
      </c>
      <c r="B108" s="35"/>
      <c r="C108" s="36">
        <v>21</v>
      </c>
      <c r="D108" s="37"/>
      <c r="E108" s="38">
        <v>2.0833333333333332E-2</v>
      </c>
      <c r="F108" s="39">
        <f>F110-E108</f>
        <v>46062.788194444453</v>
      </c>
    </row>
    <row r="109" spans="1:6" s="10" customFormat="1" x14ac:dyDescent="0.25">
      <c r="A109" s="34" t="s">
        <v>28</v>
      </c>
      <c r="B109" s="35">
        <f t="shared" si="0"/>
        <v>11.000000000000002</v>
      </c>
      <c r="C109" s="36"/>
      <c r="D109" s="71">
        <f>(B19+F10+F11+F12+F13+F14+B18/2)*2.2%</f>
        <v>2.2000000000000002E-2</v>
      </c>
      <c r="E109" s="38"/>
      <c r="F109" s="39"/>
    </row>
    <row r="110" spans="1:6" s="10" customFormat="1" x14ac:dyDescent="0.25">
      <c r="A110" s="76" t="s">
        <v>64</v>
      </c>
      <c r="B110" s="35"/>
      <c r="C110" s="36"/>
      <c r="D110" s="37"/>
      <c r="E110" s="49">
        <v>6.9444444444444441E-3</v>
      </c>
      <c r="F110" s="50">
        <f>F120-E110</f>
        <v>46062.809027777788</v>
      </c>
    </row>
    <row r="111" spans="1:6" s="10" customFormat="1" x14ac:dyDescent="0.25">
      <c r="A111" s="76" t="s">
        <v>112</v>
      </c>
      <c r="B111" s="35"/>
      <c r="C111" s="36"/>
      <c r="D111" s="37"/>
      <c r="E111" s="49"/>
      <c r="F111" s="50"/>
    </row>
    <row r="112" spans="1:6" s="10" customFormat="1" x14ac:dyDescent="0.25">
      <c r="A112" s="76" t="s">
        <v>111</v>
      </c>
      <c r="B112" s="35"/>
      <c r="C112" s="36"/>
      <c r="D112" s="37"/>
      <c r="E112" s="49"/>
      <c r="F112" s="50"/>
    </row>
    <row r="113" spans="1:8" s="10" customFormat="1" x14ac:dyDescent="0.25">
      <c r="A113" s="34" t="s">
        <v>123</v>
      </c>
      <c r="B113" s="35">
        <f>B50+B51*50%</f>
        <v>0</v>
      </c>
      <c r="C113" s="36">
        <f>C48</f>
        <v>0</v>
      </c>
      <c r="D113" s="37">
        <f>D50+D51*50%</f>
        <v>0</v>
      </c>
      <c r="E113" s="38"/>
      <c r="F113" s="39"/>
    </row>
    <row r="114" spans="1:8" s="10" customFormat="1" x14ac:dyDescent="0.25">
      <c r="A114" s="34" t="str">
        <f>A53</f>
        <v>1.c entfällt</v>
      </c>
      <c r="B114" s="191">
        <f>B53</f>
        <v>0</v>
      </c>
      <c r="C114" s="36"/>
      <c r="D114" s="37">
        <f>D53</f>
        <v>0</v>
      </c>
      <c r="E114" s="38"/>
      <c r="F114" s="39"/>
    </row>
    <row r="115" spans="1:8" s="10" customFormat="1" x14ac:dyDescent="0.25">
      <c r="A115" s="13" t="str">
        <f>A74</f>
        <v>1.f entfällt</v>
      </c>
      <c r="B115" s="146">
        <f>B74</f>
        <v>0</v>
      </c>
      <c r="C115" s="120">
        <v>21</v>
      </c>
      <c r="D115" s="51">
        <f>D74</f>
        <v>0</v>
      </c>
      <c r="E115" s="13"/>
      <c r="F115" s="13"/>
      <c r="H115" s="45"/>
    </row>
    <row r="116" spans="1:8" s="10" customFormat="1" x14ac:dyDescent="0.25">
      <c r="A116" s="56" t="s">
        <v>29</v>
      </c>
      <c r="B116" s="35">
        <f t="shared" si="0"/>
        <v>15</v>
      </c>
      <c r="C116" s="203">
        <v>16</v>
      </c>
      <c r="D116" s="37">
        <v>0.03</v>
      </c>
      <c r="E116" s="38"/>
      <c r="F116" s="39"/>
    </row>
    <row r="117" spans="1:8" s="14" customFormat="1" x14ac:dyDescent="0.25">
      <c r="A117" s="34" t="s">
        <v>30</v>
      </c>
      <c r="B117" s="35"/>
      <c r="C117" s="36">
        <v>25</v>
      </c>
      <c r="D117" s="52"/>
      <c r="E117" s="38"/>
      <c r="F117" s="39"/>
    </row>
    <row r="118" spans="1:8" s="10" customFormat="1" x14ac:dyDescent="0.25">
      <c r="A118" s="34"/>
      <c r="B118" s="35"/>
      <c r="C118" s="43"/>
      <c r="D118" s="46"/>
      <c r="E118" s="38"/>
      <c r="F118" s="39"/>
    </row>
    <row r="119" spans="1:8" s="10" customFormat="1" ht="17.5" x14ac:dyDescent="0.35">
      <c r="A119" s="189" t="s">
        <v>94</v>
      </c>
      <c r="B119" s="53"/>
      <c r="C119" s="54"/>
      <c r="D119" s="55"/>
      <c r="E119" s="85"/>
      <c r="F119" s="84"/>
    </row>
    <row r="120" spans="1:8" s="14" customFormat="1" x14ac:dyDescent="0.25">
      <c r="A120" s="34" t="s">
        <v>120</v>
      </c>
      <c r="B120" s="35"/>
      <c r="C120" s="170">
        <v>21</v>
      </c>
      <c r="D120" s="171"/>
      <c r="E120" s="172">
        <v>4.1666666666666664E-2</v>
      </c>
      <c r="F120" s="173">
        <f>F122-E120</f>
        <v>46062.815972222234</v>
      </c>
    </row>
    <row r="121" spans="1:8" s="48" customFormat="1" ht="13" thickBot="1" x14ac:dyDescent="0.3">
      <c r="A121" s="76" t="s">
        <v>113</v>
      </c>
      <c r="B121" s="86"/>
      <c r="C121" s="47"/>
      <c r="D121" s="71"/>
      <c r="E121" s="72"/>
      <c r="F121" s="73"/>
    </row>
    <row r="122" spans="1:8" s="10" customFormat="1" ht="13" thickBot="1" x14ac:dyDescent="0.3">
      <c r="A122" s="65" t="s">
        <v>114</v>
      </c>
      <c r="B122" s="66"/>
      <c r="C122" s="67">
        <v>5</v>
      </c>
      <c r="D122" s="68" t="s">
        <v>32</v>
      </c>
      <c r="E122" s="69">
        <v>0.5</v>
      </c>
      <c r="F122" s="39">
        <f>F125-E122</f>
        <v>46062.857638888898</v>
      </c>
    </row>
    <row r="123" spans="1:8" s="10" customFormat="1" x14ac:dyDescent="0.25">
      <c r="A123" s="13"/>
      <c r="B123" s="58"/>
      <c r="C123" s="36"/>
      <c r="D123" s="59"/>
      <c r="E123" s="60"/>
      <c r="F123" s="39"/>
    </row>
    <row r="124" spans="1:8" s="10" customFormat="1" ht="17.5" x14ac:dyDescent="0.35">
      <c r="A124" s="189" t="s">
        <v>31</v>
      </c>
      <c r="B124" s="61"/>
      <c r="C124" s="54"/>
      <c r="D124" s="55"/>
      <c r="E124" s="32"/>
      <c r="F124" s="33"/>
    </row>
    <row r="125" spans="1:8" s="11" customFormat="1" x14ac:dyDescent="0.25">
      <c r="A125" s="76" t="s">
        <v>115</v>
      </c>
      <c r="B125" s="80"/>
      <c r="C125" s="78"/>
      <c r="D125" s="81"/>
      <c r="E125" s="49">
        <v>3.472222222222222E-3</v>
      </c>
      <c r="F125" s="50">
        <f>F126-E125</f>
        <v>46063.357638888898</v>
      </c>
    </row>
    <row r="126" spans="1:8" s="14" customFormat="1" x14ac:dyDescent="0.25">
      <c r="A126" s="34" t="s">
        <v>116</v>
      </c>
      <c r="B126" s="57"/>
      <c r="C126" s="203">
        <v>21</v>
      </c>
      <c r="D126" s="204"/>
      <c r="E126" s="38">
        <v>2.0833333333333332E-2</v>
      </c>
      <c r="F126" s="39">
        <f>F128-E126</f>
        <v>46063.361111111117</v>
      </c>
    </row>
    <row r="127" spans="1:8" s="10" customFormat="1" x14ac:dyDescent="0.25">
      <c r="A127" s="76" t="s">
        <v>117</v>
      </c>
      <c r="B127" s="80"/>
      <c r="C127" s="78"/>
      <c r="D127" s="81"/>
      <c r="E127" s="49">
        <v>3.472222222222222E-3</v>
      </c>
      <c r="F127" s="50">
        <f>F132-E127</f>
        <v>46063.420138888898</v>
      </c>
    </row>
    <row r="128" spans="1:8" x14ac:dyDescent="0.25">
      <c r="A128" s="34" t="s">
        <v>118</v>
      </c>
      <c r="B128" s="35"/>
      <c r="C128" s="36">
        <v>21</v>
      </c>
      <c r="D128" s="205" t="s">
        <v>119</v>
      </c>
      <c r="E128" s="38">
        <v>4.1666666666666664E-2</v>
      </c>
      <c r="F128" s="39">
        <f>F132-E128</f>
        <v>46063.381944444453</v>
      </c>
    </row>
    <row r="129" spans="1:7" x14ac:dyDescent="0.25">
      <c r="A129" s="34"/>
      <c r="B129" s="35"/>
      <c r="C129" s="36"/>
      <c r="D129" s="205"/>
      <c r="E129" s="38"/>
      <c r="F129" s="39"/>
    </row>
    <row r="130" spans="1:7" s="10" customFormat="1" ht="17.5" x14ac:dyDescent="0.35">
      <c r="A130" s="189" t="s">
        <v>65</v>
      </c>
      <c r="B130" s="61"/>
      <c r="C130" s="62"/>
      <c r="D130" s="55"/>
      <c r="E130" s="32"/>
      <c r="F130" s="33"/>
    </row>
    <row r="131" spans="1:7" s="10" customFormat="1" x14ac:dyDescent="0.25">
      <c r="A131" s="56" t="s">
        <v>33</v>
      </c>
      <c r="B131" s="57"/>
      <c r="C131" s="36">
        <v>250</v>
      </c>
      <c r="D131" s="81"/>
      <c r="E131" s="38">
        <v>2.0833333333333332E-2</v>
      </c>
      <c r="F131" s="39">
        <f>F135-E131</f>
        <v>46063.40625</v>
      </c>
    </row>
    <row r="132" spans="1:7" s="11" customFormat="1" x14ac:dyDescent="0.25">
      <c r="A132" s="76" t="s">
        <v>121</v>
      </c>
      <c r="B132" s="80"/>
      <c r="C132" s="78"/>
      <c r="E132" s="49">
        <v>3.472222222222222E-3</v>
      </c>
      <c r="F132" s="50">
        <f>F135-E132</f>
        <v>46063.423611111117</v>
      </c>
    </row>
    <row r="133" spans="1:7" s="11" customFormat="1" x14ac:dyDescent="0.25">
      <c r="A133" s="80" t="s">
        <v>34</v>
      </c>
      <c r="B133" s="82"/>
      <c r="C133" s="78"/>
      <c r="D133" s="81"/>
      <c r="E133" s="49"/>
      <c r="F133" s="50"/>
    </row>
    <row r="134" spans="1:7" s="11" customFormat="1" x14ac:dyDescent="0.25">
      <c r="A134" s="76" t="s">
        <v>35</v>
      </c>
      <c r="B134" s="77"/>
      <c r="C134" s="78"/>
      <c r="D134" s="81"/>
      <c r="E134" s="49"/>
      <c r="F134" s="50"/>
    </row>
    <row r="135" spans="1:7" s="10" customFormat="1" x14ac:dyDescent="0.25">
      <c r="A135" s="56" t="s">
        <v>36</v>
      </c>
      <c r="B135" s="35"/>
      <c r="C135" s="36">
        <v>240</v>
      </c>
      <c r="D135" s="59"/>
      <c r="E135" s="38">
        <v>6.9444444444444441E-3</v>
      </c>
      <c r="F135" s="39">
        <f>F137-E135</f>
        <v>46063.427083333336</v>
      </c>
    </row>
    <row r="136" spans="1:7" s="11" customFormat="1" x14ac:dyDescent="0.25">
      <c r="A136" s="76" t="s">
        <v>37</v>
      </c>
      <c r="B136" s="77"/>
      <c r="C136" s="78"/>
      <c r="D136" s="81"/>
      <c r="E136" s="49"/>
      <c r="F136" s="50"/>
    </row>
    <row r="137" spans="1:7" s="10" customFormat="1" x14ac:dyDescent="0.25">
      <c r="A137" s="56" t="s">
        <v>38</v>
      </c>
      <c r="B137" s="57"/>
      <c r="C137" s="36">
        <v>210</v>
      </c>
      <c r="D137" s="52"/>
      <c r="E137" s="38">
        <v>2.4305555555555556E-2</v>
      </c>
      <c r="F137" s="39">
        <f>F138-E137</f>
        <v>46063.434027777781</v>
      </c>
    </row>
    <row r="138" spans="1:7" s="10" customFormat="1" x14ac:dyDescent="0.25">
      <c r="A138" s="56" t="s">
        <v>39</v>
      </c>
      <c r="B138" s="57"/>
      <c r="C138" s="36"/>
      <c r="D138" s="59"/>
      <c r="E138" s="38"/>
      <c r="F138" s="39">
        <f>F4+F5</f>
        <v>46063.458333333336</v>
      </c>
    </row>
    <row r="139" spans="1:7" s="10" customFormat="1" ht="26" customHeight="1" x14ac:dyDescent="0.25">
      <c r="F139" s="64"/>
    </row>
    <row r="140" spans="1:7" customFormat="1" ht="14.5" customHeight="1" x14ac:dyDescent="0.35">
      <c r="A140" s="3"/>
      <c r="B140" s="208" t="s">
        <v>85</v>
      </c>
      <c r="C140" s="209"/>
      <c r="D140" s="209"/>
      <c r="E140" s="3"/>
      <c r="F140" s="3"/>
    </row>
    <row r="141" spans="1:7" customFormat="1" ht="14.5" x14ac:dyDescent="0.35">
      <c r="A141" s="3"/>
      <c r="B141" s="209"/>
      <c r="C141" s="209"/>
      <c r="D141" s="209"/>
      <c r="E141" s="3"/>
      <c r="F141" s="3"/>
      <c r="G141" s="75"/>
    </row>
    <row r="142" spans="1:7" customFormat="1" ht="14.5" x14ac:dyDescent="0.35">
      <c r="A142" s="3"/>
      <c r="B142" s="209"/>
      <c r="C142" s="209"/>
      <c r="D142" s="209"/>
      <c r="E142" s="3"/>
      <c r="F142" s="3"/>
      <c r="G142" s="75"/>
    </row>
    <row r="143" spans="1:7" customFormat="1" ht="14.5" x14ac:dyDescent="0.35">
      <c r="A143" s="3"/>
      <c r="B143" s="3"/>
      <c r="C143" s="3"/>
      <c r="D143" s="3"/>
      <c r="E143" s="3"/>
      <c r="F143" s="3"/>
      <c r="G143" s="75"/>
    </row>
    <row r="144" spans="1:7" customFormat="1" ht="14.5" x14ac:dyDescent="0.35">
      <c r="A144" s="3"/>
      <c r="B144" s="3"/>
      <c r="C144" s="3"/>
      <c r="D144" s="3"/>
      <c r="E144" s="3"/>
      <c r="F144" s="3"/>
      <c r="G144" s="75"/>
    </row>
    <row r="145" spans="1:14" customFormat="1" ht="14.5" x14ac:dyDescent="0.35">
      <c r="A145" s="3"/>
      <c r="B145" s="3"/>
      <c r="C145" s="3"/>
      <c r="D145" s="3"/>
      <c r="E145" s="3"/>
      <c r="F145" s="3"/>
      <c r="G145" s="75"/>
    </row>
    <row r="146" spans="1:14" customFormat="1" ht="14.5" x14ac:dyDescent="0.35">
      <c r="A146" s="3"/>
      <c r="B146" s="3"/>
      <c r="C146" s="3"/>
      <c r="D146" s="3"/>
      <c r="E146" s="3"/>
      <c r="F146" s="3"/>
      <c r="G146" s="75"/>
    </row>
    <row r="147" spans="1:14" customFormat="1" ht="14.5" x14ac:dyDescent="0.35">
      <c r="A147" s="3"/>
      <c r="B147" s="109"/>
      <c r="C147" s="74"/>
      <c r="D147" s="75"/>
      <c r="E147" s="75"/>
      <c r="F147" s="75"/>
      <c r="G147" s="75"/>
    </row>
    <row r="148" spans="1:14" s="90" customFormat="1" ht="10.5" hidden="1" x14ac:dyDescent="0.25">
      <c r="B148" s="91"/>
      <c r="C148" s="92"/>
      <c r="D148" s="93"/>
      <c r="E148" s="93"/>
      <c r="F148" s="93"/>
      <c r="G148" s="93"/>
    </row>
    <row r="149" spans="1:14" s="90" customFormat="1" ht="11" hidden="1" thickBot="1" x14ac:dyDescent="0.3">
      <c r="A149" s="94" t="s">
        <v>45</v>
      </c>
      <c r="B149" s="95"/>
      <c r="C149" s="91" t="s">
        <v>40</v>
      </c>
      <c r="D149" s="91" t="s">
        <v>41</v>
      </c>
      <c r="E149" s="91" t="s">
        <v>42</v>
      </c>
      <c r="F149" s="91" t="s">
        <v>43</v>
      </c>
      <c r="G149" s="91" t="s">
        <v>44</v>
      </c>
      <c r="I149" s="91" t="s">
        <v>73</v>
      </c>
      <c r="J149" s="91" t="s">
        <v>40</v>
      </c>
      <c r="K149" s="91" t="s">
        <v>41</v>
      </c>
      <c r="L149" s="91" t="s">
        <v>42</v>
      </c>
      <c r="M149" s="91" t="s">
        <v>43</v>
      </c>
      <c r="N149" s="91" t="s">
        <v>44</v>
      </c>
    </row>
    <row r="150" spans="1:14" s="90" customFormat="1" ht="10.5" hidden="1" x14ac:dyDescent="0.25">
      <c r="A150" s="96" t="s">
        <v>22</v>
      </c>
      <c r="B150" s="97">
        <f>B25</f>
        <v>345</v>
      </c>
      <c r="C150" s="92">
        <f t="shared" ref="C150:C173" si="2">J150/100*$B150</f>
        <v>0</v>
      </c>
      <c r="D150" s="93">
        <f t="shared" ref="D150:D173" si="3">K150/100*$B150</f>
        <v>0</v>
      </c>
      <c r="E150" s="93">
        <f t="shared" ref="E150:E173" si="4">L150/100*$B150</f>
        <v>0</v>
      </c>
      <c r="F150" s="93">
        <f t="shared" ref="F150:F173" si="5">M150/100*$B150</f>
        <v>0</v>
      </c>
      <c r="G150" s="93">
        <f t="shared" ref="G150:G173" si="6">N150/100*$B150</f>
        <v>0</v>
      </c>
      <c r="I150" s="91" t="s">
        <v>22</v>
      </c>
      <c r="J150" s="92">
        <v>0</v>
      </c>
      <c r="K150" s="93">
        <v>0</v>
      </c>
      <c r="L150" s="93">
        <v>0</v>
      </c>
      <c r="M150" s="93">
        <v>0</v>
      </c>
      <c r="N150" s="93">
        <v>0</v>
      </c>
    </row>
    <row r="151" spans="1:14" s="90" customFormat="1" ht="10.5" hidden="1" x14ac:dyDescent="0.25">
      <c r="A151" s="98" t="s">
        <v>7</v>
      </c>
      <c r="B151" s="99">
        <f>B9*$F$6</f>
        <v>0</v>
      </c>
      <c r="C151" s="92">
        <f t="shared" si="2"/>
        <v>0</v>
      </c>
      <c r="D151" s="93">
        <f t="shared" si="3"/>
        <v>0</v>
      </c>
      <c r="E151" s="93">
        <f t="shared" si="4"/>
        <v>0</v>
      </c>
      <c r="F151" s="93">
        <f t="shared" si="5"/>
        <v>0</v>
      </c>
      <c r="G151" s="93">
        <f t="shared" si="6"/>
        <v>0</v>
      </c>
      <c r="I151" s="91" t="s">
        <v>7</v>
      </c>
      <c r="J151" s="92">
        <v>350</v>
      </c>
      <c r="K151" s="93">
        <v>71.7</v>
      </c>
      <c r="L151" s="93">
        <v>11.7</v>
      </c>
      <c r="M151" s="93">
        <v>2.2000000000000002</v>
      </c>
      <c r="N151" s="93">
        <v>0.8</v>
      </c>
    </row>
    <row r="152" spans="1:14" s="90" customFormat="1" ht="10.5" hidden="1" x14ac:dyDescent="0.25">
      <c r="A152" s="98" t="s">
        <v>9</v>
      </c>
      <c r="B152" s="99">
        <f>(B10+B16)*$F$6</f>
        <v>250</v>
      </c>
      <c r="C152" s="92">
        <f t="shared" si="2"/>
        <v>867.5</v>
      </c>
      <c r="D152" s="93">
        <f t="shared" si="3"/>
        <v>180</v>
      </c>
      <c r="E152" s="93">
        <f t="shared" si="4"/>
        <v>26.5</v>
      </c>
      <c r="F152" s="93">
        <f t="shared" si="5"/>
        <v>8.75</v>
      </c>
      <c r="G152" s="93">
        <f t="shared" si="6"/>
        <v>2.7500000000000004</v>
      </c>
      <c r="I152" s="91" t="s">
        <v>9</v>
      </c>
      <c r="J152" s="92">
        <v>347</v>
      </c>
      <c r="K152" s="93">
        <v>72</v>
      </c>
      <c r="L152" s="93">
        <v>10.6</v>
      </c>
      <c r="M152" s="93">
        <v>3.5</v>
      </c>
      <c r="N152" s="93">
        <v>1.1000000000000001</v>
      </c>
    </row>
    <row r="153" spans="1:14" s="90" customFormat="1" ht="10.5" hidden="1" x14ac:dyDescent="0.25">
      <c r="A153" s="98" t="s">
        <v>46</v>
      </c>
      <c r="B153" s="99">
        <f>(B11+B18/2)*$F$6</f>
        <v>0</v>
      </c>
      <c r="C153" s="92">
        <f t="shared" si="2"/>
        <v>0</v>
      </c>
      <c r="D153" s="93">
        <f t="shared" si="3"/>
        <v>0</v>
      </c>
      <c r="E153" s="93">
        <f t="shared" si="4"/>
        <v>0</v>
      </c>
      <c r="F153" s="93">
        <f t="shared" si="5"/>
        <v>0</v>
      </c>
      <c r="G153" s="93">
        <f t="shared" si="6"/>
        <v>0</v>
      </c>
      <c r="I153" s="91" t="s">
        <v>46</v>
      </c>
      <c r="J153" s="92">
        <v>325</v>
      </c>
      <c r="K153" s="93">
        <v>67.900000000000006</v>
      </c>
      <c r="L153" s="93">
        <v>7.4</v>
      </c>
      <c r="M153" s="93">
        <v>6.9</v>
      </c>
      <c r="N153" s="93">
        <v>1.1000000000000001</v>
      </c>
    </row>
    <row r="154" spans="1:14" s="90" customFormat="1" ht="10.5" hidden="1" x14ac:dyDescent="0.25">
      <c r="A154" s="98" t="s">
        <v>11</v>
      </c>
      <c r="B154" s="99">
        <f>(B12+B17)*$F$6</f>
        <v>250</v>
      </c>
      <c r="C154" s="92">
        <f t="shared" si="2"/>
        <v>887.5</v>
      </c>
      <c r="D154" s="93">
        <f t="shared" si="3"/>
        <v>159.25</v>
      </c>
      <c r="E154" s="93">
        <f t="shared" si="4"/>
        <v>31.75</v>
      </c>
      <c r="F154" s="93">
        <f t="shared" si="5"/>
        <v>20.75</v>
      </c>
      <c r="G154" s="93">
        <f t="shared" si="6"/>
        <v>4.25</v>
      </c>
      <c r="I154" s="91" t="s">
        <v>11</v>
      </c>
      <c r="J154" s="92">
        <v>355</v>
      </c>
      <c r="K154" s="93">
        <v>63.7</v>
      </c>
      <c r="L154" s="93">
        <v>12.7</v>
      </c>
      <c r="M154" s="93">
        <v>8.3000000000000007</v>
      </c>
      <c r="N154" s="93">
        <v>1.7</v>
      </c>
    </row>
    <row r="155" spans="1:14" s="90" customFormat="1" ht="10.5" hidden="1" x14ac:dyDescent="0.25">
      <c r="A155" s="98" t="s">
        <v>25</v>
      </c>
      <c r="B155" s="99">
        <f>B13*$F$6</f>
        <v>0</v>
      </c>
      <c r="C155" s="92">
        <f t="shared" si="2"/>
        <v>0</v>
      </c>
      <c r="D155" s="93">
        <f t="shared" si="3"/>
        <v>0</v>
      </c>
      <c r="E155" s="93">
        <f t="shared" si="4"/>
        <v>0</v>
      </c>
      <c r="F155" s="93">
        <f t="shared" si="5"/>
        <v>0</v>
      </c>
      <c r="G155" s="93">
        <f t="shared" si="6"/>
        <v>0</v>
      </c>
      <c r="I155" s="91" t="s">
        <v>25</v>
      </c>
      <c r="J155" s="92">
        <v>325</v>
      </c>
      <c r="K155" s="93">
        <v>59.5</v>
      </c>
      <c r="L155" s="93">
        <v>11.4</v>
      </c>
      <c r="M155" s="93">
        <v>10</v>
      </c>
      <c r="N155" s="93">
        <v>0.9</v>
      </c>
    </row>
    <row r="156" spans="1:14" s="90" customFormat="1" ht="10.5" hidden="1" x14ac:dyDescent="0.25">
      <c r="A156" s="98" t="s">
        <v>13</v>
      </c>
      <c r="B156" s="99">
        <f>(B14+B18/2)*$F$6</f>
        <v>0</v>
      </c>
      <c r="C156" s="92">
        <f t="shared" si="2"/>
        <v>0</v>
      </c>
      <c r="D156" s="93">
        <f t="shared" si="3"/>
        <v>0</v>
      </c>
      <c r="E156" s="93">
        <f t="shared" si="4"/>
        <v>0</v>
      </c>
      <c r="F156" s="93">
        <f t="shared" si="5"/>
        <v>0</v>
      </c>
      <c r="G156" s="93">
        <f t="shared" si="6"/>
        <v>0</v>
      </c>
      <c r="I156" s="91" t="s">
        <v>13</v>
      </c>
      <c r="J156" s="92">
        <v>323</v>
      </c>
      <c r="K156" s="93">
        <v>60.7</v>
      </c>
      <c r="L156" s="93">
        <v>9.5</v>
      </c>
      <c r="M156" s="93">
        <v>13.4</v>
      </c>
      <c r="N156" s="93">
        <v>1.03</v>
      </c>
    </row>
    <row r="157" spans="1:14" s="90" customFormat="1" ht="10.5" hidden="1" x14ac:dyDescent="0.25">
      <c r="A157" s="98" t="s">
        <v>72</v>
      </c>
      <c r="B157" s="99">
        <f>B104</f>
        <v>0</v>
      </c>
      <c r="C157" s="92">
        <f t="shared" si="2"/>
        <v>0</v>
      </c>
      <c r="D157" s="93">
        <f t="shared" si="3"/>
        <v>0</v>
      </c>
      <c r="E157" s="93">
        <f t="shared" si="4"/>
        <v>0</v>
      </c>
      <c r="F157" s="93">
        <f t="shared" si="5"/>
        <v>0</v>
      </c>
      <c r="G157" s="93">
        <f t="shared" si="6"/>
        <v>0</v>
      </c>
      <c r="I157" s="91" t="s">
        <v>72</v>
      </c>
      <c r="J157" s="92">
        <v>200</v>
      </c>
      <c r="K157" s="93">
        <v>3.5</v>
      </c>
      <c r="L157" s="93">
        <v>2</v>
      </c>
      <c r="M157" s="93">
        <v>85</v>
      </c>
      <c r="N157" s="93">
        <v>1.5</v>
      </c>
    </row>
    <row r="158" spans="1:14" s="90" customFormat="1" ht="10.5" hidden="1" x14ac:dyDescent="0.25">
      <c r="A158" s="98" t="s">
        <v>47</v>
      </c>
      <c r="B158" s="99">
        <f>B97+B43</f>
        <v>3.4999999999999996</v>
      </c>
      <c r="C158" s="92">
        <f t="shared" si="2"/>
        <v>4.4449999999999994</v>
      </c>
      <c r="D158" s="93">
        <f t="shared" si="3"/>
        <v>0.43749999999999994</v>
      </c>
      <c r="E158" s="93">
        <f t="shared" si="4"/>
        <v>0.38849999999999996</v>
      </c>
      <c r="F158" s="93">
        <f t="shared" si="5"/>
        <v>0.35699999999999993</v>
      </c>
      <c r="G158" s="93">
        <f t="shared" si="6"/>
        <v>6.9999999999999993E-2</v>
      </c>
      <c r="I158" s="91" t="s">
        <v>47</v>
      </c>
      <c r="J158" s="92">
        <v>127</v>
      </c>
      <c r="K158" s="93">
        <v>12.5</v>
      </c>
      <c r="L158" s="93">
        <v>11.1</v>
      </c>
      <c r="M158" s="93">
        <v>10.199999999999999</v>
      </c>
      <c r="N158" s="93">
        <v>2</v>
      </c>
    </row>
    <row r="159" spans="1:14" s="90" customFormat="1" ht="10.5" hidden="1" x14ac:dyDescent="0.25">
      <c r="A159" s="98" t="s">
        <v>28</v>
      </c>
      <c r="B159" s="99">
        <f>B109</f>
        <v>11.000000000000002</v>
      </c>
      <c r="C159" s="92">
        <f t="shared" si="2"/>
        <v>0</v>
      </c>
      <c r="D159" s="93">
        <f t="shared" si="3"/>
        <v>0</v>
      </c>
      <c r="E159" s="93">
        <f t="shared" si="4"/>
        <v>0</v>
      </c>
      <c r="F159" s="93">
        <f t="shared" si="5"/>
        <v>0</v>
      </c>
      <c r="G159" s="93">
        <f t="shared" si="6"/>
        <v>0</v>
      </c>
      <c r="I159" s="91" t="s">
        <v>28</v>
      </c>
      <c r="J159" s="92">
        <v>0</v>
      </c>
      <c r="K159" s="93">
        <v>0</v>
      </c>
      <c r="L159" s="93">
        <v>0</v>
      </c>
      <c r="M159" s="93">
        <v>0</v>
      </c>
      <c r="N159" s="93">
        <v>0</v>
      </c>
    </row>
    <row r="160" spans="1:14" s="90" customFormat="1" ht="10.5" hidden="1" x14ac:dyDescent="0.25">
      <c r="A160" s="98" t="s">
        <v>48</v>
      </c>
      <c r="B160" s="99">
        <f>0</f>
        <v>0</v>
      </c>
      <c r="C160" s="92">
        <f t="shared" si="2"/>
        <v>0</v>
      </c>
      <c r="D160" s="93">
        <f t="shared" si="3"/>
        <v>0</v>
      </c>
      <c r="E160" s="93">
        <f t="shared" si="4"/>
        <v>0</v>
      </c>
      <c r="F160" s="93">
        <f t="shared" si="5"/>
        <v>0</v>
      </c>
      <c r="G160" s="93">
        <f t="shared" si="6"/>
        <v>0</v>
      </c>
      <c r="I160" s="91" t="s">
        <v>48</v>
      </c>
      <c r="J160" s="92">
        <v>304</v>
      </c>
      <c r="K160" s="93">
        <v>82.4</v>
      </c>
      <c r="L160" s="93">
        <v>0.3</v>
      </c>
      <c r="M160" s="93">
        <v>0.2</v>
      </c>
      <c r="N160" s="93">
        <v>0</v>
      </c>
    </row>
    <row r="161" spans="1:14" s="90" customFormat="1" ht="10.5" hidden="1" x14ac:dyDescent="0.25">
      <c r="A161" s="98" t="s">
        <v>8</v>
      </c>
      <c r="B161" s="99">
        <f>F9*$F$6</f>
        <v>0</v>
      </c>
      <c r="C161" s="92">
        <f t="shared" si="2"/>
        <v>0</v>
      </c>
      <c r="D161" s="93">
        <f t="shared" si="3"/>
        <v>0</v>
      </c>
      <c r="E161" s="93">
        <f t="shared" si="4"/>
        <v>0</v>
      </c>
      <c r="F161" s="93">
        <f t="shared" si="5"/>
        <v>0</v>
      </c>
      <c r="G161" s="93">
        <f t="shared" si="6"/>
        <v>0</v>
      </c>
      <c r="I161" s="91" t="s">
        <v>8</v>
      </c>
      <c r="J161" s="92">
        <v>213</v>
      </c>
      <c r="K161" s="93">
        <v>43</v>
      </c>
      <c r="L161" s="93">
        <v>6.6</v>
      </c>
      <c r="M161" s="93">
        <v>5</v>
      </c>
      <c r="N161" s="93">
        <v>0.9</v>
      </c>
    </row>
    <row r="162" spans="1:14" s="90" customFormat="1" ht="10.5" hidden="1" x14ac:dyDescent="0.25">
      <c r="A162" s="98" t="s">
        <v>49</v>
      </c>
      <c r="B162" s="99">
        <v>0</v>
      </c>
      <c r="C162" s="92">
        <f t="shared" si="2"/>
        <v>0</v>
      </c>
      <c r="D162" s="93">
        <f t="shared" si="3"/>
        <v>0</v>
      </c>
      <c r="E162" s="93">
        <f t="shared" si="4"/>
        <v>0</v>
      </c>
      <c r="F162" s="93">
        <f t="shared" si="5"/>
        <v>0</v>
      </c>
      <c r="G162" s="93">
        <f t="shared" si="6"/>
        <v>0</v>
      </c>
      <c r="I162" s="91" t="s">
        <v>49</v>
      </c>
      <c r="J162" s="92">
        <v>598</v>
      </c>
      <c r="K162" s="93">
        <v>10.199999999999999</v>
      </c>
      <c r="L162" s="93">
        <v>20</v>
      </c>
      <c r="M162" s="93">
        <v>12</v>
      </c>
      <c r="N162" s="93">
        <v>50.7</v>
      </c>
    </row>
    <row r="163" spans="1:14" s="90" customFormat="1" ht="10.5" hidden="1" x14ac:dyDescent="0.25">
      <c r="A163" s="98" t="s">
        <v>50</v>
      </c>
      <c r="B163" s="99">
        <f>B55</f>
        <v>0</v>
      </c>
      <c r="C163" s="92">
        <f t="shared" si="2"/>
        <v>0</v>
      </c>
      <c r="D163" s="93">
        <f t="shared" si="3"/>
        <v>0</v>
      </c>
      <c r="E163" s="93">
        <f t="shared" si="4"/>
        <v>0</v>
      </c>
      <c r="F163" s="93">
        <f t="shared" si="5"/>
        <v>0</v>
      </c>
      <c r="G163" s="93">
        <f t="shared" si="6"/>
        <v>0</v>
      </c>
      <c r="I163" s="91" t="s">
        <v>50</v>
      </c>
      <c r="J163" s="92">
        <v>500</v>
      </c>
      <c r="K163" s="93">
        <v>7.8</v>
      </c>
      <c r="L163" s="93">
        <v>23</v>
      </c>
      <c r="M163" s="93">
        <v>27.5</v>
      </c>
      <c r="N163" s="93">
        <v>37</v>
      </c>
    </row>
    <row r="164" spans="1:14" s="90" customFormat="1" ht="10.5" hidden="1" x14ac:dyDescent="0.25">
      <c r="A164" s="98" t="s">
        <v>51</v>
      </c>
      <c r="B164" s="99">
        <v>0</v>
      </c>
      <c r="C164" s="92">
        <f t="shared" si="2"/>
        <v>0</v>
      </c>
      <c r="D164" s="93">
        <f t="shared" si="3"/>
        <v>0</v>
      </c>
      <c r="E164" s="93">
        <f t="shared" si="4"/>
        <v>0</v>
      </c>
      <c r="F164" s="93">
        <f t="shared" si="5"/>
        <v>0</v>
      </c>
      <c r="G164" s="93">
        <f t="shared" si="6"/>
        <v>0</v>
      </c>
      <c r="I164" s="91" t="s">
        <v>51</v>
      </c>
      <c r="J164" s="92">
        <v>533</v>
      </c>
      <c r="K164" s="93">
        <v>23.69</v>
      </c>
      <c r="L164" s="93">
        <v>18.04</v>
      </c>
      <c r="M164" s="93">
        <v>10</v>
      </c>
      <c r="N164" s="93">
        <v>44.7</v>
      </c>
    </row>
    <row r="165" spans="1:14" s="90" customFormat="1" ht="10.5" hidden="1" x14ac:dyDescent="0.25">
      <c r="A165" s="98" t="s">
        <v>52</v>
      </c>
      <c r="B165" s="99">
        <v>0</v>
      </c>
      <c r="C165" s="92">
        <f t="shared" si="2"/>
        <v>0</v>
      </c>
      <c r="D165" s="93">
        <f t="shared" si="3"/>
        <v>0</v>
      </c>
      <c r="E165" s="93">
        <f t="shared" si="4"/>
        <v>0</v>
      </c>
      <c r="F165" s="93">
        <f t="shared" si="5"/>
        <v>0</v>
      </c>
      <c r="G165" s="93">
        <f t="shared" si="6"/>
        <v>0</v>
      </c>
      <c r="I165" s="91" t="s">
        <v>52</v>
      </c>
      <c r="J165" s="92">
        <v>584</v>
      </c>
      <c r="K165" s="93">
        <v>11.4</v>
      </c>
      <c r="L165" s="93">
        <v>20.8</v>
      </c>
      <c r="M165" s="93">
        <v>8.6</v>
      </c>
      <c r="N165" s="93">
        <v>51.5</v>
      </c>
    </row>
    <row r="166" spans="1:14" s="90" customFormat="1" ht="10.5" hidden="1" x14ac:dyDescent="0.25">
      <c r="A166" s="98" t="s">
        <v>75</v>
      </c>
      <c r="B166" s="99">
        <f>B49</f>
        <v>0</v>
      </c>
      <c r="C166" s="92">
        <f t="shared" ref="C166" si="7">J166/100*$B166</f>
        <v>0</v>
      </c>
      <c r="D166" s="93">
        <f t="shared" ref="D166" si="8">K166/100*$B166</f>
        <v>0</v>
      </c>
      <c r="E166" s="93">
        <f t="shared" ref="E166" si="9">L166/100*$B166</f>
        <v>0</v>
      </c>
      <c r="F166" s="93">
        <f t="shared" ref="F166" si="10">M166/100*$B166</f>
        <v>0</v>
      </c>
      <c r="G166" s="93">
        <f t="shared" ref="G166" si="11">N166/100*$B166</f>
        <v>0</v>
      </c>
      <c r="I166" s="91" t="s">
        <v>75</v>
      </c>
      <c r="J166" s="92">
        <v>620</v>
      </c>
      <c r="K166" s="93">
        <v>19</v>
      </c>
      <c r="L166" s="93">
        <v>17</v>
      </c>
      <c r="M166" s="93">
        <v>7.5</v>
      </c>
      <c r="N166" s="93">
        <v>53</v>
      </c>
    </row>
    <row r="167" spans="1:14" s="90" customFormat="1" ht="10.5" hidden="1" x14ac:dyDescent="0.25">
      <c r="A167" s="98" t="s">
        <v>53</v>
      </c>
      <c r="B167" s="99">
        <f>B63</f>
        <v>0</v>
      </c>
      <c r="C167" s="92">
        <f t="shared" si="2"/>
        <v>0</v>
      </c>
      <c r="D167" s="93">
        <f t="shared" si="3"/>
        <v>0</v>
      </c>
      <c r="E167" s="93">
        <f t="shared" si="4"/>
        <v>0</v>
      </c>
      <c r="F167" s="93">
        <f t="shared" si="5"/>
        <v>0</v>
      </c>
      <c r="G167" s="93">
        <f t="shared" si="6"/>
        <v>0</v>
      </c>
      <c r="I167" s="91" t="s">
        <v>53</v>
      </c>
      <c r="J167" s="92">
        <v>371</v>
      </c>
      <c r="K167" s="93">
        <v>58.7</v>
      </c>
      <c r="L167" s="93">
        <v>13.5</v>
      </c>
      <c r="M167" s="93">
        <v>10</v>
      </c>
      <c r="N167" s="93">
        <v>7</v>
      </c>
    </row>
    <row r="168" spans="1:14" s="90" customFormat="1" ht="10.5" hidden="1" x14ac:dyDescent="0.25">
      <c r="A168" s="98" t="s">
        <v>54</v>
      </c>
      <c r="B168" s="99">
        <v>0</v>
      </c>
      <c r="C168" s="92">
        <f t="shared" si="2"/>
        <v>0</v>
      </c>
      <c r="D168" s="93">
        <f t="shared" si="3"/>
        <v>0</v>
      </c>
      <c r="E168" s="93">
        <f t="shared" si="4"/>
        <v>0</v>
      </c>
      <c r="F168" s="93">
        <f t="shared" si="5"/>
        <v>0</v>
      </c>
      <c r="G168" s="93">
        <f t="shared" si="6"/>
        <v>0</v>
      </c>
      <c r="I168" s="91" t="s">
        <v>54</v>
      </c>
      <c r="J168" s="92">
        <v>352</v>
      </c>
      <c r="K168" s="93">
        <v>66.400000000000006</v>
      </c>
      <c r="L168" s="93">
        <v>11.9</v>
      </c>
      <c r="M168" s="93">
        <v>0</v>
      </c>
      <c r="N168" s="93">
        <v>2.8</v>
      </c>
    </row>
    <row r="169" spans="1:14" s="90" customFormat="1" ht="10.5" hidden="1" x14ac:dyDescent="0.25">
      <c r="A169" s="98" t="s">
        <v>55</v>
      </c>
      <c r="B169" s="99">
        <f>B77</f>
        <v>0</v>
      </c>
      <c r="C169" s="92">
        <f t="shared" si="2"/>
        <v>0</v>
      </c>
      <c r="D169" s="93">
        <f t="shared" si="3"/>
        <v>0</v>
      </c>
      <c r="E169" s="93">
        <f t="shared" si="4"/>
        <v>0</v>
      </c>
      <c r="F169" s="93">
        <f t="shared" si="5"/>
        <v>0</v>
      </c>
      <c r="G169" s="93">
        <f t="shared" si="6"/>
        <v>0</v>
      </c>
      <c r="I169" s="91" t="s">
        <v>55</v>
      </c>
      <c r="J169" s="92">
        <v>327</v>
      </c>
      <c r="K169" s="93">
        <v>59.6</v>
      </c>
      <c r="L169" s="93">
        <v>11.4</v>
      </c>
      <c r="M169" s="93">
        <v>0</v>
      </c>
      <c r="N169" s="93">
        <v>1.8</v>
      </c>
    </row>
    <row r="170" spans="1:14" s="90" customFormat="1" ht="10.5" hidden="1" x14ac:dyDescent="0.25">
      <c r="A170" s="98" t="s">
        <v>56</v>
      </c>
      <c r="B170" s="99">
        <v>0</v>
      </c>
      <c r="C170" s="92">
        <f t="shared" si="2"/>
        <v>0</v>
      </c>
      <c r="D170" s="93">
        <f t="shared" si="3"/>
        <v>0</v>
      </c>
      <c r="E170" s="93">
        <f t="shared" si="4"/>
        <v>0</v>
      </c>
      <c r="F170" s="93">
        <f t="shared" si="5"/>
        <v>0</v>
      </c>
      <c r="G170" s="93">
        <f t="shared" si="6"/>
        <v>0</v>
      </c>
      <c r="I170" s="91" t="s">
        <v>56</v>
      </c>
      <c r="J170" s="92">
        <v>330</v>
      </c>
      <c r="K170" s="93">
        <v>63.3</v>
      </c>
      <c r="L170" s="93">
        <v>8.8000000000000007</v>
      </c>
      <c r="M170" s="93">
        <v>0</v>
      </c>
      <c r="N170" s="93">
        <v>1.8</v>
      </c>
    </row>
    <row r="171" spans="1:14" s="90" customFormat="1" ht="10.5" hidden="1" x14ac:dyDescent="0.25">
      <c r="A171" s="98" t="s">
        <v>57</v>
      </c>
      <c r="B171" s="99">
        <v>0</v>
      </c>
      <c r="C171" s="92">
        <f t="shared" si="2"/>
        <v>0</v>
      </c>
      <c r="D171" s="93">
        <f t="shared" si="3"/>
        <v>0</v>
      </c>
      <c r="E171" s="93">
        <f t="shared" si="4"/>
        <v>0</v>
      </c>
      <c r="F171" s="93">
        <f t="shared" si="5"/>
        <v>0</v>
      </c>
      <c r="G171" s="93">
        <f t="shared" si="6"/>
        <v>0</v>
      </c>
      <c r="I171" s="91" t="s">
        <v>57</v>
      </c>
      <c r="J171" s="92">
        <v>347</v>
      </c>
      <c r="K171" s="93">
        <v>63</v>
      </c>
      <c r="L171" s="93">
        <v>17</v>
      </c>
      <c r="M171" s="93">
        <v>9.9</v>
      </c>
      <c r="N171" s="93">
        <v>2.7</v>
      </c>
    </row>
    <row r="172" spans="1:14" s="90" customFormat="1" ht="10.5" hidden="1" x14ac:dyDescent="0.25">
      <c r="A172" s="98" t="s">
        <v>58</v>
      </c>
      <c r="B172" s="99">
        <v>0</v>
      </c>
      <c r="C172" s="92">
        <f t="shared" si="2"/>
        <v>0</v>
      </c>
      <c r="D172" s="93">
        <f t="shared" si="3"/>
        <v>0</v>
      </c>
      <c r="E172" s="93">
        <f t="shared" si="4"/>
        <v>0</v>
      </c>
      <c r="F172" s="93">
        <f t="shared" si="5"/>
        <v>0</v>
      </c>
      <c r="G172" s="93">
        <f t="shared" si="6"/>
        <v>0</v>
      </c>
      <c r="I172" s="91" t="s">
        <v>58</v>
      </c>
      <c r="J172" s="92">
        <v>713</v>
      </c>
      <c r="K172" s="93">
        <v>0.5</v>
      </c>
      <c r="L172" s="93">
        <v>0.4</v>
      </c>
      <c r="M172" s="93">
        <v>0</v>
      </c>
      <c r="N172" s="93">
        <v>79</v>
      </c>
    </row>
    <row r="173" spans="1:14" s="90" customFormat="1" ht="11" hidden="1" thickBot="1" x14ac:dyDescent="0.3">
      <c r="A173" s="100" t="s">
        <v>59</v>
      </c>
      <c r="B173" s="101">
        <v>0</v>
      </c>
      <c r="C173" s="92">
        <f t="shared" si="2"/>
        <v>0</v>
      </c>
      <c r="D173" s="93">
        <f t="shared" si="3"/>
        <v>0</v>
      </c>
      <c r="E173" s="93">
        <f t="shared" si="4"/>
        <v>0</v>
      </c>
      <c r="F173" s="93">
        <f t="shared" si="5"/>
        <v>0</v>
      </c>
      <c r="G173" s="93">
        <f t="shared" si="6"/>
        <v>0</v>
      </c>
      <c r="I173" s="91" t="s">
        <v>59</v>
      </c>
      <c r="J173" s="92">
        <v>32</v>
      </c>
      <c r="K173" s="93">
        <v>7.7</v>
      </c>
      <c r="L173" s="93">
        <v>2.7E-2</v>
      </c>
      <c r="M173" s="93">
        <v>0.31</v>
      </c>
      <c r="N173" s="93">
        <v>0.05</v>
      </c>
    </row>
    <row r="174" spans="1:14" s="90" customFormat="1" ht="10.5" hidden="1" x14ac:dyDescent="0.25">
      <c r="A174" s="91" t="s">
        <v>60</v>
      </c>
      <c r="B174" s="102">
        <f>SUM(B150:B173)</f>
        <v>859.5</v>
      </c>
      <c r="C174" s="92">
        <f>SUM(C150:C173)</f>
        <v>1759.4449999999999</v>
      </c>
      <c r="D174" s="92">
        <f t="shared" ref="D174:G174" si="12">SUM(D150:D173)</f>
        <v>339.6875</v>
      </c>
      <c r="E174" s="92">
        <f t="shared" si="12"/>
        <v>58.638500000000001</v>
      </c>
      <c r="F174" s="92">
        <f t="shared" si="12"/>
        <v>29.856999999999999</v>
      </c>
      <c r="G174" s="92">
        <f t="shared" si="12"/>
        <v>7.07</v>
      </c>
      <c r="I174" s="91"/>
      <c r="J174" s="103"/>
    </row>
    <row r="175" spans="1:14" s="90" customFormat="1" ht="10.5" hidden="1" x14ac:dyDescent="0.25">
      <c r="A175" s="91" t="s">
        <v>61</v>
      </c>
      <c r="B175" s="103">
        <v>0.13</v>
      </c>
    </row>
    <row r="176" spans="1:14" s="90" customFormat="1" ht="10.5" hidden="1" x14ac:dyDescent="0.25">
      <c r="A176" s="91" t="s">
        <v>62</v>
      </c>
      <c r="B176" s="102">
        <f>B174-B174*B175</f>
        <v>747.76499999999999</v>
      </c>
    </row>
    <row r="177" spans="1:2" s="91" customFormat="1" ht="10.5" hidden="1" x14ac:dyDescent="0.25">
      <c r="A177" s="91" t="s">
        <v>63</v>
      </c>
      <c r="B177" s="103">
        <v>0.03</v>
      </c>
    </row>
    <row r="179" spans="1:2" x14ac:dyDescent="0.25">
      <c r="A179" s="83"/>
    </row>
  </sheetData>
  <sheetProtection algorithmName="SHA-512" hashValue="/SOlMnYu3md6axivE1CHIPxJ7A2X2/91YFYx0Yy9oguuXMBNvky1uYxPlHji86eSF9xaZcrYQ+UlUMohhbHGnA==" saltValue="7sW/TGxlscxMPbTLPS89lg==" spinCount="100000" sheet="1" objects="1" scenarios="1"/>
  <mergeCells count="9">
    <mergeCell ref="B140:D142"/>
    <mergeCell ref="D17:F19"/>
    <mergeCell ref="A1:F1"/>
    <mergeCell ref="D4:E4"/>
    <mergeCell ref="D5:E5"/>
    <mergeCell ref="A3:F3"/>
    <mergeCell ref="A8:B8"/>
    <mergeCell ref="D8:F8"/>
    <mergeCell ref="A15:B15"/>
  </mergeCells>
  <conditionalFormatting sqref="A112">
    <cfRule type="expression" dxfId="22" priority="3">
      <formula>($F$10+$F$11+$F$13)=0</formula>
    </cfRule>
  </conditionalFormatting>
  <conditionalFormatting sqref="A45:D45">
    <cfRule type="expression" dxfId="21" priority="92">
      <formula>$B$16=0</formula>
    </cfRule>
  </conditionalFormatting>
  <conditionalFormatting sqref="A61:D61 A62:F65 A94:F94">
    <cfRule type="expression" dxfId="20" priority="23">
      <formula>$F$12=0</formula>
    </cfRule>
  </conditionalFormatting>
  <conditionalFormatting sqref="A40:F42 A43:B43 D43:F43 A44:F44 E45:F45">
    <cfRule type="expression" dxfId="19" priority="93">
      <formula>$B$16=0</formula>
    </cfRule>
  </conditionalFormatting>
  <conditionalFormatting sqref="A48:F51">
    <cfRule type="expression" dxfId="18" priority="26">
      <formula>$F$10=0</formula>
    </cfRule>
  </conditionalFormatting>
  <conditionalFormatting sqref="A54:F58">
    <cfRule type="expression" dxfId="17" priority="10">
      <formula>$F$11=0</formula>
    </cfRule>
  </conditionalFormatting>
  <conditionalFormatting sqref="A75:F79">
    <cfRule type="expression" dxfId="16" priority="28">
      <formula>$F$13=0</formula>
    </cfRule>
  </conditionalFormatting>
  <conditionalFormatting sqref="A82:F87 A88:E88">
    <cfRule type="expression" dxfId="15" priority="43">
      <formula>$F$9=0</formula>
    </cfRule>
  </conditionalFormatting>
  <conditionalFormatting sqref="A93:F93">
    <cfRule type="expression" dxfId="14" priority="27">
      <formula>$B$39=0</formula>
    </cfRule>
  </conditionalFormatting>
  <conditionalFormatting sqref="A95:F95">
    <cfRule type="expression" dxfId="13" priority="30">
      <formula>$B$17=0</formula>
    </cfRule>
  </conditionalFormatting>
  <conditionalFormatting sqref="A96:F96">
    <cfRule type="expression" dxfId="12" priority="21">
      <formula>$F$9=0</formula>
    </cfRule>
  </conditionalFormatting>
  <conditionalFormatting sqref="A98:F103">
    <cfRule type="expression" dxfId="11" priority="18">
      <formula>$B9=0</formula>
    </cfRule>
  </conditionalFormatting>
  <conditionalFormatting sqref="A104:F104">
    <cfRule type="expression" dxfId="10" priority="108">
      <formula>$F$14=0</formula>
    </cfRule>
  </conditionalFormatting>
  <conditionalFormatting sqref="A106:F106">
    <cfRule type="expression" dxfId="9" priority="103">
      <formula>$B$18=0</formula>
    </cfRule>
  </conditionalFormatting>
  <conditionalFormatting sqref="A113:F113">
    <cfRule type="expression" dxfId="8" priority="4">
      <formula>$F$10=0</formula>
    </cfRule>
  </conditionalFormatting>
  <conditionalFormatting sqref="A114:F114">
    <cfRule type="expression" dxfId="7" priority="2">
      <formula>$F$11=0</formula>
    </cfRule>
  </conditionalFormatting>
  <conditionalFormatting sqref="A115:F115">
    <cfRule type="expression" dxfId="6" priority="1">
      <formula>$F$13=0</formula>
    </cfRule>
  </conditionalFormatting>
  <conditionalFormatting sqref="B55:B56">
    <cfRule type="expression" dxfId="5" priority="12">
      <formula>$F$10=0</formula>
    </cfRule>
  </conditionalFormatting>
  <conditionalFormatting sqref="B60:F60">
    <cfRule type="expression" dxfId="4" priority="109">
      <formula>$F$12=0</formula>
    </cfRule>
  </conditionalFormatting>
  <conditionalFormatting sqref="B67:F67">
    <cfRule type="expression" dxfId="3" priority="101">
      <formula>$B$17=0</formula>
    </cfRule>
  </conditionalFormatting>
  <conditionalFormatting sqref="B81:F81">
    <cfRule type="expression" dxfId="2" priority="44">
      <formula>$F$9=0</formula>
    </cfRule>
  </conditionalFormatting>
  <conditionalFormatting sqref="C43 A59:F59 A68:D68 A69:F72 A79">
    <cfRule type="expression" dxfId="1" priority="98">
      <formula>$B$17=0</formula>
    </cfRule>
  </conditionalFormatting>
  <conditionalFormatting sqref="C43">
    <cfRule type="expression" dxfId="0" priority="7">
      <formula>$BB$16=0</formula>
    </cfRule>
  </conditionalFormatting>
  <printOptions horizontalCentered="1"/>
  <pageMargins left="0.70866141732283472" right="0.70866141732283472" top="0.78740157480314965" bottom="0.39370078740157483" header="0.31496062992125984" footer="0.31496062992125984"/>
  <pageSetup paperSize="9" orientation="portrait" r:id="rId1"/>
  <rowBreaks count="2" manualBreakCount="2">
    <brk id="36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2026-01-14T17:22:37Z</cp:lastPrinted>
  <dcterms:created xsi:type="dcterms:W3CDTF">2025-04-29T22:05:03Z</dcterms:created>
  <dcterms:modified xsi:type="dcterms:W3CDTF">2026-02-10T22:09:56Z</dcterms:modified>
  <cp:category/>
  <cp:contentStatus/>
</cp:coreProperties>
</file>