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86" documentId="8_{1B0C27B5-430D-4561-BAFB-1E8C7A898CCF}" xr6:coauthVersionLast="47" xr6:coauthVersionMax="47" xr10:uidLastSave="{67426378-BE95-49F0-ADF1-392101231F9E}"/>
  <bookViews>
    <workbookView xWindow="-110" yWindow="-110" windowWidth="19420" windowHeight="10300" xr2:uid="{6AF04D03-3FFF-482B-ADA3-9E84988EE023}"/>
  </bookViews>
  <sheets>
    <sheet name="MeinBrot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101" i="1"/>
  <c r="D89" i="1"/>
  <c r="A101" i="1"/>
  <c r="D44" i="1"/>
  <c r="A93" i="1" l="1"/>
  <c r="B155" i="1"/>
  <c r="C17" i="1"/>
  <c r="B164" i="1"/>
  <c r="A53" i="1" l="1"/>
  <c r="A119" i="1" s="1"/>
  <c r="A47" i="1"/>
  <c r="A81" i="1"/>
  <c r="A74" i="1"/>
  <c r="A67" i="1"/>
  <c r="A60" i="1"/>
  <c r="D55" i="1"/>
  <c r="D56" i="1" s="1"/>
  <c r="B56" i="1" s="1"/>
  <c r="E58" i="1"/>
  <c r="E65" i="1" l="1"/>
  <c r="E72" i="1" s="1"/>
  <c r="E79" i="1" s="1"/>
  <c r="E87" i="1" s="1"/>
  <c r="D53" i="1"/>
  <c r="D119" i="1" s="1"/>
  <c r="B55" i="1"/>
  <c r="A120" i="1"/>
  <c r="D77" i="1"/>
  <c r="B77" i="1" s="1"/>
  <c r="B172" i="1" s="1"/>
  <c r="D111" i="1"/>
  <c r="B111" i="1" s="1"/>
  <c r="B160" i="1" s="1"/>
  <c r="E160" i="1" s="1"/>
  <c r="B53" i="1" l="1"/>
  <c r="B119" i="1" s="1"/>
  <c r="B166" i="1"/>
  <c r="D76" i="1"/>
  <c r="C160" i="1"/>
  <c r="F160" i="1"/>
  <c r="G160" i="1"/>
  <c r="D160" i="1"/>
  <c r="D63" i="1"/>
  <c r="B63" i="1" s="1"/>
  <c r="A102" i="1"/>
  <c r="B163" i="1"/>
  <c r="B76" i="1" l="1"/>
  <c r="B74" i="1" s="1"/>
  <c r="B120" i="1" s="1"/>
  <c r="D74" i="1"/>
  <c r="D120" i="1" s="1"/>
  <c r="B170" i="1"/>
  <c r="D62" i="1"/>
  <c r="D70" i="1"/>
  <c r="D69" i="1" s="1"/>
  <c r="B62" i="1" l="1"/>
  <c r="D60" i="1"/>
  <c r="D102" i="1" s="1"/>
  <c r="B70" i="1"/>
  <c r="D49" i="1"/>
  <c r="B69" i="1" l="1"/>
  <c r="D67" i="1"/>
  <c r="B60" i="1"/>
  <c r="B102" i="1"/>
  <c r="D50" i="1"/>
  <c r="A104" i="1"/>
  <c r="D106" i="1"/>
  <c r="D107" i="1"/>
  <c r="B107" i="1" s="1"/>
  <c r="D108" i="1"/>
  <c r="D109" i="1"/>
  <c r="B109" i="1" s="1"/>
  <c r="D110" i="1"/>
  <c r="B110" i="1" s="1"/>
  <c r="B157" i="1"/>
  <c r="F157" i="1" s="1"/>
  <c r="B158" i="1"/>
  <c r="G158" i="1" s="1"/>
  <c r="G155" i="1"/>
  <c r="G164" i="1"/>
  <c r="B154" i="1"/>
  <c r="G154" i="1" s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D84" i="1"/>
  <c r="D83" i="1" s="1"/>
  <c r="D100" i="1" s="1"/>
  <c r="D25" i="1" l="1"/>
  <c r="B67" i="1"/>
  <c r="B108" i="1"/>
  <c r="B106" i="1"/>
  <c r="C158" i="1"/>
  <c r="D158" i="1"/>
  <c r="C164" i="1"/>
  <c r="D164" i="1"/>
  <c r="C157" i="1"/>
  <c r="E158" i="1"/>
  <c r="F158" i="1"/>
  <c r="E157" i="1"/>
  <c r="G157" i="1"/>
  <c r="D157" i="1"/>
  <c r="E155" i="1"/>
  <c r="F155" i="1"/>
  <c r="E164" i="1"/>
  <c r="F164" i="1"/>
  <c r="C155" i="1"/>
  <c r="D155" i="1"/>
  <c r="C154" i="1"/>
  <c r="D154" i="1"/>
  <c r="E154" i="1"/>
  <c r="F154" i="1"/>
  <c r="C118" i="1"/>
  <c r="B49" i="1"/>
  <c r="B169" i="1" l="1"/>
  <c r="D169" i="1" s="1"/>
  <c r="D166" i="1"/>
  <c r="C166" i="1"/>
  <c r="G166" i="1"/>
  <c r="F166" i="1"/>
  <c r="E166" i="1"/>
  <c r="D47" i="1"/>
  <c r="D118" i="1" s="1"/>
  <c r="B50" i="1"/>
  <c r="B48" i="1" s="1"/>
  <c r="B118" i="1" l="1"/>
  <c r="E169" i="1"/>
  <c r="C169" i="1"/>
  <c r="G169" i="1"/>
  <c r="F169" i="1"/>
  <c r="F141" i="1"/>
  <c r="B112" i="1"/>
  <c r="D105" i="1"/>
  <c r="F140" i="1" l="1"/>
  <c r="F138" i="1" s="1"/>
  <c r="B121" i="1"/>
  <c r="B105" i="1"/>
  <c r="B84" i="1"/>
  <c r="B83" i="1"/>
  <c r="F134" i="1" l="1"/>
  <c r="F135" i="1"/>
  <c r="F131" i="1" s="1"/>
  <c r="F129" i="1" s="1"/>
  <c r="F125" i="1" s="1"/>
  <c r="F116" i="1" s="1"/>
  <c r="F161" i="1"/>
  <c r="E161" i="1"/>
  <c r="C161" i="1"/>
  <c r="D161" i="1"/>
  <c r="G161" i="1"/>
  <c r="F163" i="1"/>
  <c r="E163" i="1"/>
  <c r="D163" i="1"/>
  <c r="C163" i="1"/>
  <c r="G163" i="1"/>
  <c r="A103" i="1"/>
  <c r="D103" i="1" l="1"/>
  <c r="D81" i="1"/>
  <c r="D104" i="1" s="1"/>
  <c r="B104" i="1" s="1"/>
  <c r="B103" i="1" l="1"/>
  <c r="F114" i="1" l="1"/>
  <c r="B81" i="1"/>
  <c r="F99" i="1" l="1"/>
  <c r="F94" i="1" l="1"/>
  <c r="F90" i="1" s="1"/>
  <c r="F45" i="1" s="1"/>
  <c r="F41" i="1" s="1"/>
  <c r="F58" i="1"/>
  <c r="F87" i="1"/>
  <c r="F85" i="1" s="1"/>
  <c r="F82" i="1" s="1"/>
  <c r="F79" i="1"/>
  <c r="F78" i="1" s="1"/>
  <c r="F75" i="1" s="1"/>
  <c r="F65" i="1"/>
  <c r="F72" i="1"/>
  <c r="F51" i="1"/>
  <c r="F48" i="1" s="1"/>
  <c r="F64" i="1" l="1"/>
  <c r="F54" i="1"/>
  <c r="F71" i="1" l="1"/>
  <c r="D42" i="1"/>
  <c r="B42" i="1" s="1"/>
  <c r="B44" i="1"/>
  <c r="D43" i="1"/>
  <c r="D40" i="1" l="1"/>
  <c r="D93" i="1" s="1"/>
  <c r="D92" i="1" s="1"/>
  <c r="B19" i="1"/>
  <c r="B159" i="1"/>
  <c r="B156" i="1"/>
  <c r="B92" i="1"/>
  <c r="D24" i="1"/>
  <c r="D91" i="1"/>
  <c r="B91" i="1" s="1"/>
  <c r="B43" i="1"/>
  <c r="B24" i="1" s="1"/>
  <c r="C156" i="1" l="1"/>
  <c r="G156" i="1"/>
  <c r="E156" i="1"/>
  <c r="F156" i="1"/>
  <c r="D156" i="1"/>
  <c r="C159" i="1"/>
  <c r="D159" i="1"/>
  <c r="E159" i="1"/>
  <c r="F159" i="1"/>
  <c r="G159" i="1"/>
  <c r="B40" i="1"/>
  <c r="B115" i="1"/>
  <c r="A20" i="1"/>
  <c r="B93" i="1" l="1"/>
  <c r="B89" i="1" s="1"/>
  <c r="B101" i="1" s="1"/>
  <c r="D98" i="1"/>
  <c r="B100" i="1"/>
  <c r="B162" i="1"/>
  <c r="B25" i="1" l="1"/>
  <c r="B153" i="1" s="1"/>
  <c r="B98" i="1"/>
  <c r="F8" i="1" s="1"/>
  <c r="D162" i="1"/>
  <c r="G162" i="1"/>
  <c r="C162" i="1"/>
  <c r="F162" i="1"/>
  <c r="E162" i="1"/>
  <c r="G153" i="1" l="1"/>
  <c r="G177" i="1" s="1"/>
  <c r="C153" i="1"/>
  <c r="C177" i="1" s="1"/>
  <c r="E153" i="1"/>
  <c r="E177" i="1" s="1"/>
  <c r="F153" i="1"/>
  <c r="F177" i="1" s="1"/>
  <c r="D153" i="1"/>
  <c r="D177" i="1" s="1"/>
  <c r="B177" i="1"/>
  <c r="B179" i="1" s="1"/>
  <c r="B32" i="1" s="1"/>
  <c r="B31" i="1" l="1"/>
  <c r="B28" i="1"/>
  <c r="B29" i="1"/>
  <c r="B30" i="1"/>
  <c r="B27" i="1"/>
</calcChain>
</file>

<file path=xl/sharedStrings.xml><?xml version="1.0" encoding="utf-8"?>
<sst xmlns="http://schemas.openxmlformats.org/spreadsheetml/2006/main" count="204" uniqueCount="121">
  <si>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</si>
  <si>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</si>
  <si>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</si>
  <si>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</si>
  <si>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</si>
  <si>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</si>
  <si>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</si>
  <si>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</si>
  <si>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</si>
  <si>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</si>
  <si>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</si>
  <si>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</si>
  <si>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</si>
  <si>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</si>
  <si>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</si>
  <si>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</si>
  <si>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</si>
  <si>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</si>
  <si>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</si>
  <si>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</si>
  <si>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</si>
  <si>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</si>
  <si>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</si>
  <si>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</si>
  <si>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</si>
  <si>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</si>
  <si>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</si>
  <si>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</si>
  <si>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</si>
  <si>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</si>
  <si>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</si>
  <si>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</si>
  <si>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</si>
  <si>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</si>
  <si>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</si>
  <si>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</si>
  <si>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</si>
  <si>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</si>
  <si>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</si>
  <si>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</si>
  <si>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</si>
  <si>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</si>
  <si>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</si>
  <si>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</si>
  <si>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</si>
  <si>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</si>
  <si>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</si>
  <si>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</si>
  <si>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</si>
  <si>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</si>
  <si>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</si>
  <si>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</si>
  <si>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</si>
  <si>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</si>
  <si>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</si>
  <si>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</si>
  <si>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</si>
  <si>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</si>
  <si>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</si>
  <si>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</si>
  <si>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</si>
  <si>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</si>
  <si>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</si>
  <si>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</si>
  <si>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</si>
  <si>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</si>
  <si>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</si>
  <si>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</si>
  <si>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</si>
  <si>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</si>
  <si>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</si>
  <si>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</si>
  <si>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</si>
  <si>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</si>
  <si>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</si>
  <si>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</si>
  <si>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</si>
  <si>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</si>
  <si>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</si>
  <si>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</si>
  <si>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</si>
  <si>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</si>
  <si>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</si>
  <si>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</si>
  <si>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</si>
  <si>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</si>
  <si>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</si>
  <si>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</si>
  <si>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</si>
  <si>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</si>
  <si>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</si>
  <si>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</si>
  <si>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</si>
  <si>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</si>
  <si>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</si>
  <si>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</si>
  <si>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</si>
  <si>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</si>
  <si>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</si>
  <si>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</si>
  <si>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</si>
  <si>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Seite 2: Vorstufen</t>
  </si>
  <si>
    <t>Seite 1: Eingaben und Überblick</t>
  </si>
  <si>
    <t>Stückgare zeitlich flexibel wählbar: 14 - 18 Stunden</t>
  </si>
  <si>
    <t>Teiglinge aus der Kühlung nehmen, auf Backpapier legen, Schluss unten</t>
  </si>
  <si>
    <t>Aktive Zubereitungszeit:</t>
  </si>
  <si>
    <r>
      <rPr>
        <b/>
        <sz val="14"/>
        <rFont val="Tahoma"/>
        <family val="2"/>
      </rPr>
      <t>Mein Brot 21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Backhefe, kühle Stückgare. Dieses Brot eignet sich für milde Dinkel- und Weizen(misch)brote, Brötchen und Baguettes in Bioqualität. Der Roggenanteil sollte 30% nicht übersteigen.
</t>
    </r>
  </si>
  <si>
    <t>ca. 37 Stunden</t>
  </si>
  <si>
    <t>1.h Sauerteig Stufe II</t>
  </si>
  <si>
    <t>Folgende Zutaten intensiv kneten</t>
  </si>
  <si>
    <t>1.a Sauerteig Stufe I</t>
  </si>
  <si>
    <t>Sauerteig-Anstellgut Lievito Madre TA 150</t>
  </si>
  <si>
    <t>Reife</t>
  </si>
  <si>
    <t>Backstein oder Topf aufheizen</t>
  </si>
  <si>
    <t>Stockgare in geölter Schüssel</t>
  </si>
  <si>
    <t>Bassinage, Wasser ca.</t>
  </si>
  <si>
    <t>Fortsetzung auf der nächsten Seite</t>
  </si>
  <si>
    <t>Seite 3: Hauptteig</t>
  </si>
  <si>
    <t xml:space="preserve">&gt; Seite 3: Hauptteig </t>
  </si>
  <si>
    <t>Stückgare im Gärkorb, Schluss oben</t>
  </si>
  <si>
    <t>Weizenmehl in Sauerteig-Vorstufen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</si>
</sst>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9" fontId="5" fillId="4" borderId="3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0" fontId="6" fillId="4" borderId="22" xfId="0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2"/>
  <sheetViews>
    <sheetView tabSelected="1" zoomScale="102" zoomScaleNormal="135" workbookViewId="0">
      <selection activeCell="F5" sqref="F5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x14ac:dyDescent="0.25">
      <c r="A1" s="211" t="s">
        <v>106</v>
      </c>
      <c r="B1" s="211"/>
      <c r="C1" s="211"/>
      <c r="D1" s="211"/>
      <c r="E1" s="211"/>
      <c r="F1" s="211"/>
      <c r="K1" s="3"/>
    </row>
    <row r="2" spans="1:11" s="2" customFormat="1" ht="18" customHeight="1" x14ac:dyDescent="0.25">
      <c r="A2" s="145"/>
      <c r="B2" s="145"/>
      <c r="C2" s="145"/>
      <c r="D2" s="145"/>
      <c r="E2" s="145"/>
      <c r="F2" s="145"/>
      <c r="K2" s="3"/>
    </row>
    <row r="3" spans="1:11" s="2" customFormat="1" ht="18" customHeight="1" thickBot="1" x14ac:dyDescent="0.3">
      <c r="A3" s="220" t="s">
        <v>102</v>
      </c>
      <c r="B3" s="220"/>
      <c r="C3" s="220"/>
      <c r="D3" s="220"/>
      <c r="E3" s="220"/>
      <c r="F3" s="220"/>
      <c r="K3" s="3"/>
    </row>
    <row r="4" spans="1:11" ht="13" thickBot="1" x14ac:dyDescent="0.3">
      <c r="A4" s="214" t="s">
        <v>95</v>
      </c>
      <c r="B4" s="215"/>
      <c r="C4" s="215"/>
      <c r="D4" s="215"/>
      <c r="E4" s="215"/>
      <c r="F4" s="216"/>
    </row>
    <row r="5" spans="1:11" ht="13" thickBot="1" x14ac:dyDescent="0.3">
      <c r="A5" s="4" t="s">
        <v>0</v>
      </c>
      <c r="B5" s="4"/>
      <c r="C5" s="4"/>
      <c r="D5" s="212" t="s">
        <v>80</v>
      </c>
      <c r="E5" s="212"/>
      <c r="F5" s="139">
        <v>46063</v>
      </c>
    </row>
    <row r="6" spans="1:11" ht="13" thickBot="1" x14ac:dyDescent="0.3">
      <c r="A6" s="5" t="s">
        <v>1</v>
      </c>
      <c r="B6" s="5"/>
      <c r="C6" s="5"/>
      <c r="D6" s="213" t="s">
        <v>2</v>
      </c>
      <c r="E6" s="213"/>
      <c r="F6" s="6">
        <v>0.4375</v>
      </c>
    </row>
    <row r="7" spans="1:11" ht="13" thickBot="1" x14ac:dyDescent="0.3">
      <c r="A7" s="5" t="s">
        <v>3</v>
      </c>
      <c r="B7" s="5"/>
      <c r="C7" s="5"/>
      <c r="D7" s="89"/>
      <c r="E7" s="89" t="s">
        <v>4</v>
      </c>
      <c r="F7" s="7">
        <v>500</v>
      </c>
    </row>
    <row r="8" spans="1:11" s="62" customFormat="1" ht="40" customHeight="1" thickBot="1" x14ac:dyDescent="0.4">
      <c r="A8" s="133"/>
      <c r="B8" s="1"/>
      <c r="C8" s="1"/>
      <c r="D8" s="1"/>
      <c r="E8" s="158" t="s">
        <v>5</v>
      </c>
      <c r="F8" s="159">
        <f>ROUNDDOWN(B98*86%,-1)</f>
        <v>740</v>
      </c>
    </row>
    <row r="9" spans="1:11" ht="13" customHeight="1" thickBot="1" x14ac:dyDescent="0.3">
      <c r="A9" s="214" t="s">
        <v>6</v>
      </c>
      <c r="B9" s="216"/>
      <c r="C9" s="8"/>
      <c r="D9" s="217" t="s">
        <v>84</v>
      </c>
      <c r="E9" s="218"/>
      <c r="F9" s="219"/>
    </row>
    <row r="10" spans="1:11" ht="13" customHeight="1" thickBot="1" x14ac:dyDescent="0.3">
      <c r="A10" s="4" t="s">
        <v>7</v>
      </c>
      <c r="B10" s="140">
        <v>0</v>
      </c>
      <c r="C10" s="8"/>
      <c r="D10" s="141" t="s">
        <v>8</v>
      </c>
      <c r="E10" s="142"/>
      <c r="F10" s="140">
        <v>0</v>
      </c>
    </row>
    <row r="11" spans="1:11" ht="13" customHeight="1" thickBot="1" x14ac:dyDescent="0.3">
      <c r="A11" s="5" t="s">
        <v>9</v>
      </c>
      <c r="B11" s="9">
        <v>0.5</v>
      </c>
      <c r="C11" s="8"/>
      <c r="D11" s="109" t="s">
        <v>86</v>
      </c>
      <c r="E11" s="110"/>
      <c r="F11" s="9">
        <v>0</v>
      </c>
    </row>
    <row r="12" spans="1:11" ht="13" customHeight="1" thickBot="1" x14ac:dyDescent="0.3">
      <c r="A12" s="5" t="s">
        <v>10</v>
      </c>
      <c r="B12" s="9">
        <v>0</v>
      </c>
      <c r="C12" s="8"/>
      <c r="D12" s="3" t="s">
        <v>89</v>
      </c>
      <c r="F12" s="9">
        <v>0</v>
      </c>
    </row>
    <row r="13" spans="1:11" ht="13" customHeight="1" thickBot="1" x14ac:dyDescent="0.3">
      <c r="A13" s="21" t="s">
        <v>11</v>
      </c>
      <c r="B13" s="69">
        <v>0.28999999999999998</v>
      </c>
      <c r="C13" s="8"/>
      <c r="D13" s="109" t="s">
        <v>53</v>
      </c>
      <c r="E13" s="111"/>
      <c r="F13" s="9">
        <v>0</v>
      </c>
    </row>
    <row r="14" spans="1:11" ht="13" customHeight="1" thickBot="1" x14ac:dyDescent="0.3">
      <c r="A14" s="21" t="s">
        <v>12</v>
      </c>
      <c r="B14" s="69">
        <v>0</v>
      </c>
      <c r="C14" s="8"/>
      <c r="D14" s="109" t="s">
        <v>77</v>
      </c>
      <c r="E14" s="111"/>
      <c r="F14" s="9">
        <v>0</v>
      </c>
    </row>
    <row r="15" spans="1:11" ht="13" customHeight="1" thickBot="1" x14ac:dyDescent="0.3">
      <c r="A15" s="21" t="s">
        <v>13</v>
      </c>
      <c r="B15" s="69">
        <v>0</v>
      </c>
      <c r="C15" s="8"/>
      <c r="D15" s="146" t="s">
        <v>72</v>
      </c>
      <c r="E15" s="147"/>
      <c r="F15" s="9">
        <v>0</v>
      </c>
    </row>
    <row r="16" spans="1:11" ht="13" customHeight="1" thickBot="1" x14ac:dyDescent="0.3">
      <c r="A16" s="214" t="s">
        <v>14</v>
      </c>
      <c r="B16" s="216"/>
      <c r="C16" s="8"/>
    </row>
    <row r="17" spans="1:7" ht="13" customHeight="1" thickBot="1" x14ac:dyDescent="0.3">
      <c r="A17" s="21" t="s">
        <v>96</v>
      </c>
      <c r="B17" s="69">
        <v>0</v>
      </c>
      <c r="C17" s="182" t="str">
        <f>IF(B17&gt;15.01%,"max. 15%"," ")</f>
        <v xml:space="preserve"> </v>
      </c>
      <c r="D17" s="209" t="s">
        <v>81</v>
      </c>
      <c r="E17" s="210"/>
      <c r="F17" s="210"/>
    </row>
    <row r="18" spans="1:7" ht="13" customHeight="1" x14ac:dyDescent="0.25">
      <c r="A18" s="188" t="s">
        <v>120</v>
      </c>
      <c r="B18" s="197">
        <v>0.21</v>
      </c>
      <c r="C18" s="182"/>
      <c r="D18" s="210"/>
      <c r="E18" s="210"/>
      <c r="F18" s="210"/>
    </row>
    <row r="19" spans="1:7" ht="13" customHeight="1" thickBot="1" x14ac:dyDescent="0.3">
      <c r="A19" s="186" t="s">
        <v>71</v>
      </c>
      <c r="B19" s="187">
        <f>SUM(B10:B18)</f>
        <v>1</v>
      </c>
      <c r="D19" s="210"/>
      <c r="E19" s="210"/>
      <c r="F19" s="210"/>
    </row>
    <row r="20" spans="1:7" s="10" customFormat="1" ht="25" customHeight="1" x14ac:dyDescent="0.35">
      <c r="A20" s="185" t="str">
        <f>IF($B$19=100%," ","Eingabe prüfen. Summe muss 100% sein.")</f>
        <v xml:space="preserve"> </v>
      </c>
      <c r="C20" s="183"/>
      <c r="F20" s="184"/>
    </row>
    <row r="21" spans="1:7" s="10" customFormat="1" ht="25" customHeight="1" x14ac:dyDescent="0.35">
      <c r="A21" s="181" t="s">
        <v>92</v>
      </c>
      <c r="B21" s="181"/>
      <c r="C21" s="181"/>
      <c r="F21" s="184"/>
    </row>
    <row r="22" spans="1:7" s="10" customFormat="1" ht="13" customHeight="1" x14ac:dyDescent="0.25">
      <c r="A22" s="11" t="s">
        <v>105</v>
      </c>
      <c r="B22" s="177" t="s">
        <v>83</v>
      </c>
      <c r="D22" s="178"/>
      <c r="E22" s="168"/>
      <c r="F22" s="169"/>
    </row>
    <row r="23" spans="1:7" s="10" customFormat="1" ht="13" customHeight="1" x14ac:dyDescent="0.25">
      <c r="A23" s="10" t="s">
        <v>97</v>
      </c>
      <c r="B23" s="3" t="s">
        <v>107</v>
      </c>
      <c r="D23" s="178"/>
      <c r="E23" s="168"/>
      <c r="F23" s="169"/>
    </row>
    <row r="24" spans="1:7" s="10" customFormat="1" ht="13" customHeight="1" x14ac:dyDescent="0.25">
      <c r="A24" s="10" t="s">
        <v>15</v>
      </c>
      <c r="B24" s="170">
        <f>B43+B70+B105+B106+B107+B108+B109+B110+B92+B44/3*2</f>
        <v>499.91828375</v>
      </c>
      <c r="C24" s="175" t="s">
        <v>16</v>
      </c>
      <c r="D24" s="178">
        <f>D43+D70+D92+D105+D106+D107+D108+D109+D110+D44/3*2</f>
        <v>0.99983656749999994</v>
      </c>
      <c r="E24" s="168"/>
      <c r="F24" s="169"/>
    </row>
    <row r="25" spans="1:7" s="10" customFormat="1" ht="13" customHeight="1" x14ac:dyDescent="0.25">
      <c r="A25" s="10" t="s">
        <v>76</v>
      </c>
      <c r="B25" s="170">
        <f>B42+B50+B56+B62+B69+B76+B83+B100+B91+B121</f>
        <v>354.99047637499996</v>
      </c>
      <c r="C25" s="175" t="s">
        <v>16</v>
      </c>
      <c r="D25" s="178">
        <f>D42+D50+D56+D62+D69+D76+D83+D100+D91+D121</f>
        <v>0.72500000000000009</v>
      </c>
      <c r="E25" s="170"/>
      <c r="F25" s="13"/>
      <c r="G25" s="39"/>
    </row>
    <row r="26" spans="1:7" s="10" customFormat="1" ht="50" customHeight="1" x14ac:dyDescent="0.35">
      <c r="A26" s="181" t="s">
        <v>91</v>
      </c>
      <c r="B26" s="4"/>
      <c r="C26"/>
      <c r="D26"/>
      <c r="E26"/>
      <c r="F26"/>
      <c r="G26" s="39"/>
    </row>
    <row r="27" spans="1:7" s="10" customFormat="1" ht="13" customHeight="1" x14ac:dyDescent="0.35">
      <c r="A27" s="3" t="s">
        <v>40</v>
      </c>
      <c r="B27" s="179">
        <f>C177/$B$179*100-C177/$B$179*100*3%</f>
        <v>221.76141782292353</v>
      </c>
      <c r="C27"/>
      <c r="G27" s="39"/>
    </row>
    <row r="28" spans="1:7" s="10" customFormat="1" ht="13" customHeight="1" x14ac:dyDescent="0.35">
      <c r="A28" s="3" t="s">
        <v>41</v>
      </c>
      <c r="B28" s="180">
        <f>D$177/$B$179*100-D$177/$B$179*100*B$180</f>
        <v>43.758756822929691</v>
      </c>
      <c r="C28"/>
      <c r="G28" s="39"/>
    </row>
    <row r="29" spans="1:7" s="10" customFormat="1" ht="13" customHeight="1" x14ac:dyDescent="0.35">
      <c r="A29" s="3" t="s">
        <v>42</v>
      </c>
      <c r="B29" s="180">
        <f>E$177/$B$179*100-E$177/$B$179*100*B$180</f>
        <v>6.9250151012514136</v>
      </c>
      <c r="C29"/>
      <c r="G29" s="39"/>
    </row>
    <row r="30" spans="1:7" s="10" customFormat="1" ht="13" customHeight="1" x14ac:dyDescent="0.35">
      <c r="A30" s="3" t="s">
        <v>43</v>
      </c>
      <c r="B30" s="180">
        <f>F$177/$B$179*100-F$177/$B$179*100*B$180</f>
        <v>4.0481484977196862</v>
      </c>
      <c r="C30"/>
      <c r="D30" s="74"/>
      <c r="E30" s="74"/>
      <c r="F30" s="74"/>
      <c r="G30" s="39"/>
    </row>
    <row r="31" spans="1:7" s="10" customFormat="1" ht="13" customHeight="1" x14ac:dyDescent="0.35">
      <c r="A31" s="3" t="s">
        <v>44</v>
      </c>
      <c r="B31" s="180">
        <f>G$177/$B$179*100-G$177/$B$179*100*B$180</f>
        <v>0.81539115761097891</v>
      </c>
      <c r="C31"/>
      <c r="D31" s="74"/>
      <c r="E31" s="74"/>
      <c r="F31" s="74"/>
      <c r="G31" s="39"/>
    </row>
    <row r="32" spans="1:7" s="10" customFormat="1" ht="13" customHeight="1" x14ac:dyDescent="0.35">
      <c r="A32" s="3" t="s">
        <v>28</v>
      </c>
      <c r="B32" s="180">
        <f>B115/B179*100-B115/B179*100*3%</f>
        <v>1.4162243293286652</v>
      </c>
      <c r="C32" s="73"/>
      <c r="D32" s="74"/>
      <c r="E32" s="74"/>
      <c r="F32" s="74"/>
      <c r="G32" s="39"/>
    </row>
    <row r="33" spans="1:7" s="10" customFormat="1" ht="50" customHeight="1" x14ac:dyDescent="0.35">
      <c r="A33" s="181" t="s">
        <v>94</v>
      </c>
      <c r="B33" s="108"/>
      <c r="C33" s="73"/>
      <c r="G33" s="39"/>
    </row>
    <row r="34" spans="1:7" s="10" customFormat="1" ht="13" customHeight="1" x14ac:dyDescent="0.35">
      <c r="A34" s="3" t="s">
        <v>93</v>
      </c>
      <c r="B34" s="108"/>
      <c r="C34" s="73"/>
      <c r="G34" s="39"/>
    </row>
    <row r="35" spans="1:7" s="10" customFormat="1" ht="13" customHeight="1" x14ac:dyDescent="0.35">
      <c r="A35" s="3" t="s">
        <v>118</v>
      </c>
      <c r="B35" s="108"/>
      <c r="C35" s="73"/>
      <c r="G35" s="39"/>
    </row>
    <row r="36" spans="1:7" s="10" customFormat="1" ht="39.5" customHeight="1" x14ac:dyDescent="0.25">
      <c r="A36" s="170"/>
      <c r="B36" s="170"/>
      <c r="C36" s="170"/>
      <c r="D36" s="170"/>
      <c r="E36" s="170"/>
      <c r="F36" s="170"/>
    </row>
    <row r="37" spans="1:7" s="10" customFormat="1" ht="18" customHeight="1" x14ac:dyDescent="0.25">
      <c r="A37" s="221" t="s">
        <v>101</v>
      </c>
      <c r="B37" s="221"/>
      <c r="C37" s="221"/>
      <c r="D37" s="221"/>
      <c r="E37" s="221"/>
      <c r="F37" s="221"/>
    </row>
    <row r="38" spans="1:7" s="16" customFormat="1" x14ac:dyDescent="0.35">
      <c r="B38" s="17" t="s">
        <v>17</v>
      </c>
      <c r="C38" s="18" t="s">
        <v>18</v>
      </c>
      <c r="D38" s="19" t="s">
        <v>19</v>
      </c>
      <c r="E38" s="20" t="s">
        <v>20</v>
      </c>
      <c r="F38" s="20" t="s">
        <v>21</v>
      </c>
    </row>
    <row r="39" spans="1:7" s="27" customFormat="1" ht="17.5" x14ac:dyDescent="0.35">
      <c r="A39" s="171" t="s">
        <v>74</v>
      </c>
      <c r="B39" s="22"/>
      <c r="C39" s="23"/>
      <c r="D39" s="24"/>
      <c r="E39" s="25"/>
      <c r="F39" s="26"/>
    </row>
    <row r="40" spans="1:7" s="27" customFormat="1" x14ac:dyDescent="0.25">
      <c r="A40" s="21" t="s">
        <v>110</v>
      </c>
      <c r="B40" s="131">
        <f>SUM(B41:B44)</f>
        <v>62.950970249999997</v>
      </c>
      <c r="C40" s="23"/>
      <c r="D40" s="132">
        <f>SUM(D41:D44)</f>
        <v>0.12590194049999998</v>
      </c>
      <c r="E40" s="25"/>
      <c r="F40" s="26"/>
    </row>
    <row r="41" spans="1:7" s="27" customFormat="1" x14ac:dyDescent="0.25">
      <c r="A41" s="128" t="s">
        <v>109</v>
      </c>
      <c r="B41" s="123"/>
      <c r="C41" s="124"/>
      <c r="D41" s="125"/>
      <c r="E41" s="126">
        <v>3.472222222222222E-3</v>
      </c>
      <c r="F41" s="127">
        <f>F45-E41</f>
        <v>46061.9375</v>
      </c>
    </row>
    <row r="42" spans="1:7" s="27" customFormat="1" x14ac:dyDescent="0.25">
      <c r="A42" s="122" t="s">
        <v>22</v>
      </c>
      <c r="B42" s="207">
        <f t="shared" ref="B42:B43" si="0">D42*$F$7</f>
        <v>18.514991249999998</v>
      </c>
      <c r="C42" s="174">
        <v>35</v>
      </c>
      <c r="D42" s="125">
        <f>D44*2.5</f>
        <v>3.7029982499999996E-2</v>
      </c>
      <c r="E42" s="189"/>
      <c r="F42" s="135"/>
    </row>
    <row r="43" spans="1:7" s="27" customFormat="1" x14ac:dyDescent="0.25">
      <c r="A43" s="122" t="s">
        <v>9</v>
      </c>
      <c r="B43" s="207">
        <f t="shared" si="0"/>
        <v>37.029982499999996</v>
      </c>
      <c r="C43" s="124"/>
      <c r="D43" s="125">
        <f>D44*5</f>
        <v>7.4059964999999991E-2</v>
      </c>
      <c r="E43" s="189"/>
      <c r="F43" s="135"/>
    </row>
    <row r="44" spans="1:7" s="27" customFormat="1" x14ac:dyDescent="0.25">
      <c r="A44" s="122" t="s">
        <v>111</v>
      </c>
      <c r="B44" s="208">
        <f>D44*$F$7</f>
        <v>7.4059964999999988</v>
      </c>
      <c r="C44" s="190">
        <v>5</v>
      </c>
      <c r="D44" s="125">
        <f>B18*7.05333%</f>
        <v>1.4811992999999997E-2</v>
      </c>
      <c r="E44" s="189"/>
      <c r="F44" s="135"/>
    </row>
    <row r="45" spans="1:7" s="27" customFormat="1" x14ac:dyDescent="0.25">
      <c r="A45" s="191" t="s">
        <v>112</v>
      </c>
      <c r="B45" s="192"/>
      <c r="C45" s="190">
        <v>21</v>
      </c>
      <c r="D45" s="193"/>
      <c r="E45" s="194">
        <v>0.58333333333333337</v>
      </c>
      <c r="F45" s="195">
        <f>F90-E45</f>
        <v>46061.940972222219</v>
      </c>
    </row>
    <row r="46" spans="1:7" s="27" customFormat="1" x14ac:dyDescent="0.25">
      <c r="A46" s="129"/>
      <c r="B46" s="123"/>
      <c r="C46" s="124"/>
      <c r="D46" s="125"/>
      <c r="E46" s="126"/>
      <c r="F46" s="127"/>
    </row>
    <row r="47" spans="1:7" s="11" customFormat="1" x14ac:dyDescent="0.25">
      <c r="A47" s="21" t="str">
        <f>IF($F$11=0,"1.b entfällt","1.b Quellstück: Nüsse o. Sonnenblumenkerne")</f>
        <v>1.b entfällt</v>
      </c>
      <c r="B47" s="28"/>
      <c r="C47" s="29">
        <v>21</v>
      </c>
      <c r="D47" s="30">
        <f>SUM(D50:D50)</f>
        <v>0</v>
      </c>
      <c r="E47" s="31"/>
      <c r="F47" s="32"/>
    </row>
    <row r="48" spans="1:7" s="13" customFormat="1" x14ac:dyDescent="0.25">
      <c r="A48" s="75" t="s">
        <v>23</v>
      </c>
      <c r="B48" s="172">
        <f>SUM(B49:B50)</f>
        <v>0</v>
      </c>
      <c r="C48" s="77"/>
      <c r="D48" s="78"/>
      <c r="E48" s="48">
        <v>3.472222222222222E-3</v>
      </c>
      <c r="F48" s="49">
        <f>F51-E48</f>
        <v>46062.357638888891</v>
      </c>
    </row>
    <row r="49" spans="1:6" s="11" customFormat="1" x14ac:dyDescent="0.25">
      <c r="A49" s="33" t="s">
        <v>87</v>
      </c>
      <c r="B49" s="34">
        <f>D49*F$7</f>
        <v>0</v>
      </c>
      <c r="C49" s="35"/>
      <c r="D49" s="36">
        <f>F11</f>
        <v>0</v>
      </c>
      <c r="E49" s="40"/>
      <c r="F49" s="38"/>
    </row>
    <row r="50" spans="1:6" s="10" customFormat="1" x14ac:dyDescent="0.25">
      <c r="A50" s="55" t="s">
        <v>22</v>
      </c>
      <c r="B50" s="34">
        <f>D50*F$7</f>
        <v>0</v>
      </c>
      <c r="C50" s="35">
        <v>16</v>
      </c>
      <c r="D50" s="36">
        <f>D49*2</f>
        <v>0</v>
      </c>
      <c r="E50" s="37"/>
      <c r="F50" s="38"/>
    </row>
    <row r="51" spans="1:6" s="11" customFormat="1" x14ac:dyDescent="0.25">
      <c r="A51" s="33" t="s">
        <v>82</v>
      </c>
      <c r="B51" s="34"/>
      <c r="C51" s="35">
        <v>21</v>
      </c>
      <c r="D51" s="36"/>
      <c r="E51" s="37">
        <v>0.29166666666666669</v>
      </c>
      <c r="F51" s="38">
        <f>F$99-E51</f>
        <v>46062.361111111109</v>
      </c>
    </row>
    <row r="52" spans="1:6" s="10" customFormat="1" x14ac:dyDescent="0.25">
      <c r="A52" s="116"/>
      <c r="B52" s="117"/>
      <c r="C52" s="118"/>
      <c r="D52" s="119"/>
      <c r="E52" s="120"/>
      <c r="F52" s="121"/>
    </row>
    <row r="53" spans="1:6" s="10" customFormat="1" x14ac:dyDescent="0.25">
      <c r="A53" s="21" t="str">
        <f>IF($F$12=0,"1.c entfällt","1.c Quellstück: Leinsaat o. Sesam")</f>
        <v>1.c entfällt</v>
      </c>
      <c r="B53" s="131">
        <f>SUM(B54:B56)</f>
        <v>0</v>
      </c>
      <c r="C53" s="160"/>
      <c r="D53" s="132">
        <f>SUM(D54:D56)</f>
        <v>0</v>
      </c>
      <c r="E53" s="161"/>
      <c r="F53" s="162"/>
    </row>
    <row r="54" spans="1:6" s="11" customFormat="1" x14ac:dyDescent="0.25">
      <c r="A54" s="163" t="s">
        <v>23</v>
      </c>
      <c r="B54" s="164"/>
      <c r="C54" s="165"/>
      <c r="D54" s="166"/>
      <c r="E54" s="167">
        <v>3.472222222222222E-3</v>
      </c>
      <c r="F54" s="127">
        <f>F58-E54</f>
        <v>46062.361111111109</v>
      </c>
    </row>
    <row r="55" spans="1:6" s="10" customFormat="1" x14ac:dyDescent="0.25">
      <c r="A55" s="116" t="s">
        <v>50</v>
      </c>
      <c r="B55" s="34">
        <f>D55*F$7</f>
        <v>0</v>
      </c>
      <c r="C55" s="118"/>
      <c r="D55" s="119">
        <f>F12</f>
        <v>0</v>
      </c>
      <c r="E55" s="120"/>
      <c r="F55" s="196"/>
    </row>
    <row r="56" spans="1:6" s="10" customFormat="1" x14ac:dyDescent="0.25">
      <c r="A56" s="116" t="s">
        <v>22</v>
      </c>
      <c r="B56" s="34">
        <f>D56*F$7</f>
        <v>0</v>
      </c>
      <c r="C56" s="118">
        <v>16</v>
      </c>
      <c r="D56" s="119">
        <f>D55*2</f>
        <v>0</v>
      </c>
      <c r="E56" s="120"/>
      <c r="F56" s="196"/>
    </row>
    <row r="57" spans="1:6" s="10" customFormat="1" x14ac:dyDescent="0.25">
      <c r="A57" s="116" t="s">
        <v>90</v>
      </c>
      <c r="B57" s="117"/>
      <c r="C57" s="118"/>
      <c r="D57" s="119"/>
      <c r="E57" s="120"/>
      <c r="F57" s="196"/>
    </row>
    <row r="58" spans="1:6" s="10" customFormat="1" x14ac:dyDescent="0.25">
      <c r="A58" s="116" t="s">
        <v>82</v>
      </c>
      <c r="B58" s="117"/>
      <c r="C58" s="118">
        <v>21</v>
      </c>
      <c r="D58" s="119"/>
      <c r="E58" s="120">
        <f>E51-E54</f>
        <v>0.28819444444444448</v>
      </c>
      <c r="F58" s="195">
        <f>F99-E58</f>
        <v>46062.364583333328</v>
      </c>
    </row>
    <row r="59" spans="1:6" s="10" customFormat="1" x14ac:dyDescent="0.25">
      <c r="A59" s="86"/>
      <c r="B59" s="148"/>
      <c r="C59" s="149"/>
      <c r="D59" s="150"/>
      <c r="E59" s="151"/>
      <c r="F59" s="196"/>
    </row>
    <row r="60" spans="1:6" s="10" customFormat="1" x14ac:dyDescent="0.25">
      <c r="A60" s="21" t="str">
        <f>IF($F$13=0,"1.d entfällt","1.d Kochstück: Haferflocken")</f>
        <v>1.d entfällt</v>
      </c>
      <c r="B60" s="28">
        <f>SUM(B62:B63)</f>
        <v>0</v>
      </c>
      <c r="C60" s="29">
        <v>21</v>
      </c>
      <c r="D60" s="30">
        <f>SUM(D62:D63)</f>
        <v>0</v>
      </c>
      <c r="E60" s="31"/>
      <c r="F60" s="32"/>
    </row>
    <row r="61" spans="1:6" s="11" customFormat="1" x14ac:dyDescent="0.25">
      <c r="A61" s="75" t="s">
        <v>66</v>
      </c>
      <c r="B61" s="76"/>
      <c r="C61" s="77"/>
      <c r="D61" s="78"/>
    </row>
    <row r="62" spans="1:6" s="10" customFormat="1" x14ac:dyDescent="0.25">
      <c r="A62" s="33" t="s">
        <v>22</v>
      </c>
      <c r="B62" s="34">
        <f>D62*F$7</f>
        <v>0</v>
      </c>
      <c r="C62" s="35">
        <v>95</v>
      </c>
      <c r="D62" s="36">
        <f>D63*3</f>
        <v>0</v>
      </c>
      <c r="E62" s="37"/>
      <c r="F62" s="38"/>
    </row>
    <row r="63" spans="1:6" s="10" customFormat="1" x14ac:dyDescent="0.25">
      <c r="A63" s="33" t="s">
        <v>53</v>
      </c>
      <c r="B63" s="34">
        <f>D63*F$7</f>
        <v>0</v>
      </c>
      <c r="C63" s="35"/>
      <c r="D63" s="36">
        <f>F13</f>
        <v>0</v>
      </c>
      <c r="E63" s="40"/>
      <c r="F63" s="38"/>
    </row>
    <row r="64" spans="1:6" s="10" customFormat="1" x14ac:dyDescent="0.25">
      <c r="A64" s="75" t="s">
        <v>98</v>
      </c>
      <c r="B64" s="34"/>
      <c r="C64" s="35"/>
      <c r="D64" s="36"/>
      <c r="E64" s="48">
        <v>6.9444444444444441E-3</v>
      </c>
      <c r="F64" s="49">
        <f>F65-E64</f>
        <v>46062.364583333328</v>
      </c>
    </row>
    <row r="65" spans="1:6" s="10" customFormat="1" x14ac:dyDescent="0.25">
      <c r="A65" s="33" t="s">
        <v>82</v>
      </c>
      <c r="B65" s="34"/>
      <c r="C65" s="35">
        <v>21</v>
      </c>
      <c r="D65" s="36"/>
      <c r="E65" s="37">
        <f>E58-E64</f>
        <v>0.28125000000000006</v>
      </c>
      <c r="F65" s="38">
        <f>F$99-E65</f>
        <v>46062.371527777774</v>
      </c>
    </row>
    <row r="66" spans="1:6" s="10" customFormat="1" x14ac:dyDescent="0.25">
      <c r="A66" s="116"/>
      <c r="B66" s="117"/>
      <c r="C66" s="118"/>
      <c r="D66" s="119"/>
      <c r="E66" s="120"/>
      <c r="F66" s="121"/>
    </row>
    <row r="67" spans="1:6" s="10" customFormat="1" x14ac:dyDescent="0.25">
      <c r="A67" s="21" t="str">
        <f>IF($B$17=0,"1.e entfällt","1.e Brühstück: Dinkelvollkornmehl")</f>
        <v>1.e entfällt</v>
      </c>
      <c r="B67" s="28">
        <f>SUM(B69:B70)</f>
        <v>0</v>
      </c>
      <c r="C67" s="29"/>
      <c r="D67" s="30">
        <f>SUM(D69:D72)</f>
        <v>0</v>
      </c>
      <c r="E67" s="31"/>
      <c r="F67" s="32"/>
    </row>
    <row r="68" spans="1:6" s="11" customFormat="1" x14ac:dyDescent="0.25">
      <c r="A68" s="75" t="s">
        <v>66</v>
      </c>
      <c r="B68" s="76"/>
      <c r="C68" s="77"/>
      <c r="D68" s="78"/>
    </row>
    <row r="69" spans="1:6" s="10" customFormat="1" x14ac:dyDescent="0.25">
      <c r="A69" s="33" t="s">
        <v>22</v>
      </c>
      <c r="B69" s="34">
        <f>D69*F$7</f>
        <v>0</v>
      </c>
      <c r="C69" s="35">
        <v>100</v>
      </c>
      <c r="D69" s="36">
        <f>D70*2.4</f>
        <v>0</v>
      </c>
      <c r="E69" s="37"/>
      <c r="F69" s="38"/>
    </row>
    <row r="70" spans="1:6" s="10" customFormat="1" x14ac:dyDescent="0.25">
      <c r="A70" s="106" t="s">
        <v>11</v>
      </c>
      <c r="B70" s="14">
        <f>D70*F$7</f>
        <v>0</v>
      </c>
      <c r="C70" s="105"/>
      <c r="D70" s="15">
        <f>B17</f>
        <v>0</v>
      </c>
      <c r="E70" s="40"/>
      <c r="F70" s="38"/>
    </row>
    <row r="71" spans="1:6" s="10" customFormat="1" x14ac:dyDescent="0.25">
      <c r="A71" s="107" t="s">
        <v>67</v>
      </c>
      <c r="B71" s="14"/>
      <c r="C71" s="105"/>
      <c r="D71" s="15"/>
      <c r="E71" s="48">
        <v>6.9444444444444441E-3</v>
      </c>
      <c r="F71" s="49">
        <f>F72-E71</f>
        <v>46062.371527777774</v>
      </c>
    </row>
    <row r="72" spans="1:6" s="10" customFormat="1" x14ac:dyDescent="0.25">
      <c r="A72" s="33" t="s">
        <v>82</v>
      </c>
      <c r="B72" s="34"/>
      <c r="C72" s="35">
        <v>21</v>
      </c>
      <c r="D72" s="36"/>
      <c r="E72" s="37">
        <f>E65-E71</f>
        <v>0.27430555555555564</v>
      </c>
      <c r="F72" s="38">
        <f>F$99-E72</f>
        <v>46062.378472222219</v>
      </c>
    </row>
    <row r="74" spans="1:6" s="10" customFormat="1" x14ac:dyDescent="0.25">
      <c r="A74" s="114" t="str">
        <f>IF(F14=0,"1.f entfällt","1.f Kochstück: Körner")</f>
        <v>1.f entfällt</v>
      </c>
      <c r="B74" s="28">
        <f>SUM(B75:B77)</f>
        <v>0</v>
      </c>
      <c r="C74" s="136"/>
      <c r="D74" s="30">
        <f>SUM(D75:D77)</f>
        <v>0</v>
      </c>
      <c r="E74" s="137"/>
      <c r="F74" s="138"/>
    </row>
    <row r="75" spans="1:6" s="11" customFormat="1" x14ac:dyDescent="0.25">
      <c r="A75" s="79" t="s">
        <v>66</v>
      </c>
      <c r="B75" s="34"/>
      <c r="C75" s="42"/>
      <c r="D75" s="36"/>
      <c r="E75" s="48">
        <v>6.9444444444444441E-3</v>
      </c>
      <c r="F75" s="49">
        <f>F78-E75</f>
        <v>46062.336805555555</v>
      </c>
    </row>
    <row r="76" spans="1:6" s="10" customFormat="1" x14ac:dyDescent="0.25">
      <c r="A76" s="12" t="s">
        <v>22</v>
      </c>
      <c r="B76" s="34">
        <f>$F$7*D76</f>
        <v>0</v>
      </c>
      <c r="C76" s="42">
        <v>95</v>
      </c>
      <c r="D76" s="36">
        <f>D77*3</f>
        <v>0</v>
      </c>
      <c r="E76" s="37"/>
      <c r="F76" s="115"/>
    </row>
    <row r="77" spans="1:6" s="10" customFormat="1" x14ac:dyDescent="0.25">
      <c r="A77" s="12" t="s">
        <v>78</v>
      </c>
      <c r="B77" s="34">
        <f>$F$7*D77</f>
        <v>0</v>
      </c>
      <c r="C77" s="42"/>
      <c r="D77" s="36">
        <f>F14</f>
        <v>0</v>
      </c>
      <c r="E77" s="37"/>
      <c r="F77" s="115"/>
    </row>
    <row r="78" spans="1:6" s="10" customFormat="1" x14ac:dyDescent="0.25">
      <c r="A78" s="79" t="s">
        <v>79</v>
      </c>
      <c r="B78" s="34"/>
      <c r="C78" s="42"/>
      <c r="D78" s="36"/>
      <c r="E78" s="37">
        <v>4.1666666666666664E-2</v>
      </c>
      <c r="F78" s="38">
        <f>F79-E78</f>
        <v>46062.34375</v>
      </c>
    </row>
    <row r="79" spans="1:6" s="10" customFormat="1" x14ac:dyDescent="0.25">
      <c r="A79" s="33" t="s">
        <v>82</v>
      </c>
      <c r="B79" s="34"/>
      <c r="C79" s="42"/>
      <c r="D79" s="36"/>
      <c r="E79" s="37">
        <f>E72-E75</f>
        <v>0.26736111111111122</v>
      </c>
      <c r="F79" s="38">
        <f>F99-E79</f>
        <v>46062.385416666664</v>
      </c>
    </row>
    <row r="80" spans="1:6" s="10" customFormat="1" x14ac:dyDescent="0.25">
      <c r="A80" s="121"/>
      <c r="B80" s="117"/>
      <c r="C80" s="143"/>
      <c r="D80" s="119"/>
      <c r="E80" s="120"/>
      <c r="F80" s="144"/>
    </row>
    <row r="81" spans="1:6" s="10" customFormat="1" x14ac:dyDescent="0.25">
      <c r="A81" s="21" t="str">
        <f>IF($F$10=0,"1.g entfällt","1.g Brühstück: Röstbrot")</f>
        <v>1.g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5" t="s">
        <v>66</v>
      </c>
      <c r="B82" s="76"/>
      <c r="C82" s="77"/>
      <c r="D82" s="78"/>
      <c r="E82" s="48">
        <v>6.9444444444444441E-3</v>
      </c>
      <c r="F82" s="49">
        <f>F85-E82</f>
        <v>46062.34375</v>
      </c>
    </row>
    <row r="83" spans="1:6" s="10" customFormat="1" x14ac:dyDescent="0.25">
      <c r="A83" s="33" t="s">
        <v>22</v>
      </c>
      <c r="B83" s="34">
        <f>D83*F$7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88</v>
      </c>
      <c r="B84" s="34">
        <f>D84*F$7</f>
        <v>0</v>
      </c>
      <c r="C84" s="35"/>
      <c r="D84" s="36">
        <f>F10</f>
        <v>0</v>
      </c>
      <c r="E84" s="37"/>
      <c r="F84" s="38"/>
    </row>
    <row r="85" spans="1:6" s="10" customFormat="1" x14ac:dyDescent="0.25">
      <c r="A85" s="75" t="s">
        <v>68</v>
      </c>
      <c r="B85" s="76"/>
      <c r="C85" s="77"/>
      <c r="D85" s="78"/>
      <c r="E85" s="37">
        <v>4.1666666666666664E-2</v>
      </c>
      <c r="F85" s="38">
        <f>F87-E85</f>
        <v>46062.350694444445</v>
      </c>
    </row>
    <row r="86" spans="1:6" s="10" customFormat="1" x14ac:dyDescent="0.25">
      <c r="A86" s="75" t="s">
        <v>69</v>
      </c>
      <c r="B86" s="76"/>
      <c r="C86" s="77"/>
      <c r="D86" s="78"/>
      <c r="E86" s="48"/>
      <c r="F86" s="49"/>
    </row>
    <row r="87" spans="1:6" s="10" customFormat="1" x14ac:dyDescent="0.25">
      <c r="A87" s="43" t="s">
        <v>82</v>
      </c>
      <c r="B87" s="34"/>
      <c r="C87" s="35">
        <v>21</v>
      </c>
      <c r="D87" s="36"/>
      <c r="E87" s="37">
        <f>E79-E82</f>
        <v>0.2604166666666668</v>
      </c>
      <c r="F87" s="38">
        <f>F$99-E87</f>
        <v>46062.392361111109</v>
      </c>
    </row>
    <row r="89" spans="1:6" x14ac:dyDescent="0.25">
      <c r="A89" s="114" t="s">
        <v>108</v>
      </c>
      <c r="B89" s="198">
        <f>SUM(B91:B94)</f>
        <v>157.377425625</v>
      </c>
      <c r="C89" s="199"/>
      <c r="D89" s="200">
        <f>SUM(D91:D93)</f>
        <v>0.31475485124999991</v>
      </c>
      <c r="E89" s="114"/>
      <c r="F89" s="114"/>
    </row>
    <row r="90" spans="1:6" s="177" customFormat="1" x14ac:dyDescent="0.25">
      <c r="A90" s="79" t="s">
        <v>109</v>
      </c>
      <c r="B90" s="79"/>
      <c r="C90" s="190"/>
      <c r="D90" s="201"/>
      <c r="E90" s="48">
        <v>3.472222222222222E-3</v>
      </c>
      <c r="F90" s="202">
        <f>F94-E90</f>
        <v>46062.524305555555</v>
      </c>
    </row>
    <row r="91" spans="1:6" x14ac:dyDescent="0.25">
      <c r="A91" s="12" t="s">
        <v>22</v>
      </c>
      <c r="B91" s="134">
        <f>D91*$F$7</f>
        <v>31.475485124999995</v>
      </c>
      <c r="C91" s="190">
        <v>35</v>
      </c>
      <c r="D91" s="50">
        <f>D93*0.5</f>
        <v>6.2950970249999988E-2</v>
      </c>
      <c r="E91" s="203"/>
      <c r="F91" s="204"/>
    </row>
    <row r="92" spans="1:6" x14ac:dyDescent="0.25">
      <c r="A92" s="12" t="s">
        <v>9</v>
      </c>
      <c r="B92" s="134">
        <f>D92*$F$7</f>
        <v>62.95097024999999</v>
      </c>
      <c r="C92" s="190"/>
      <c r="D92" s="50">
        <f>D93</f>
        <v>0.12590194049999998</v>
      </c>
      <c r="E92" s="203"/>
      <c r="F92" s="204"/>
    </row>
    <row r="93" spans="1:6" x14ac:dyDescent="0.25">
      <c r="A93" s="55" t="str">
        <f>A40</f>
        <v>1.a Sauerteig Stufe I</v>
      </c>
      <c r="B93" s="134">
        <f>B40</f>
        <v>62.950970249999997</v>
      </c>
      <c r="C93" s="190"/>
      <c r="D93" s="50">
        <f>D40</f>
        <v>0.12590194049999998</v>
      </c>
      <c r="E93" s="203"/>
      <c r="F93" s="204"/>
    </row>
    <row r="94" spans="1:6" x14ac:dyDescent="0.25">
      <c r="A94" s="12" t="s">
        <v>112</v>
      </c>
      <c r="B94" s="12"/>
      <c r="C94" s="190">
        <v>26</v>
      </c>
      <c r="D94" s="201"/>
      <c r="E94" s="203">
        <v>0.125</v>
      </c>
      <c r="F94" s="205">
        <f>F99-E94</f>
        <v>46062.527777777774</v>
      </c>
    </row>
    <row r="95" spans="1:6" s="10" customFormat="1" x14ac:dyDescent="0.25">
      <c r="A95" s="156"/>
      <c r="B95" s="14"/>
      <c r="C95" s="105"/>
      <c r="D95" s="15"/>
      <c r="E95" s="40"/>
      <c r="F95" s="157" t="s">
        <v>116</v>
      </c>
    </row>
    <row r="96" spans="1:6" s="10" customFormat="1" ht="18" customHeight="1" x14ac:dyDescent="0.25">
      <c r="A96" s="221" t="s">
        <v>117</v>
      </c>
      <c r="B96" s="221"/>
      <c r="C96" s="221"/>
      <c r="D96" s="221"/>
      <c r="E96" s="221"/>
      <c r="F96" s="221"/>
    </row>
    <row r="97" spans="1:8" s="10" customFormat="1" x14ac:dyDescent="0.25">
      <c r="A97" s="39"/>
      <c r="B97" s="17" t="s">
        <v>17</v>
      </c>
      <c r="C97" s="18" t="s">
        <v>18</v>
      </c>
      <c r="D97" s="19" t="s">
        <v>19</v>
      </c>
      <c r="E97" s="20" t="s">
        <v>20</v>
      </c>
      <c r="F97" s="20" t="s">
        <v>21</v>
      </c>
    </row>
    <row r="98" spans="1:8" s="27" customFormat="1" ht="17.5" x14ac:dyDescent="0.35">
      <c r="A98" s="171" t="s">
        <v>24</v>
      </c>
      <c r="B98" s="112">
        <f>SUM(B99:B121)</f>
        <v>868.627425625</v>
      </c>
      <c r="C98" s="113"/>
      <c r="D98" s="30">
        <f>SUM(D99:D121)</f>
        <v>1.7522738985000001</v>
      </c>
      <c r="E98" s="31"/>
      <c r="F98" s="32"/>
    </row>
    <row r="99" spans="1:8" s="11" customFormat="1" x14ac:dyDescent="0.25">
      <c r="A99" s="75" t="s">
        <v>66</v>
      </c>
      <c r="B99" s="76"/>
      <c r="C99" s="77"/>
      <c r="D99" s="78"/>
      <c r="E99" s="48">
        <v>6.9444444444444441E-3</v>
      </c>
      <c r="F99" s="49">
        <f>F114-E99</f>
        <v>46062.652777777774</v>
      </c>
    </row>
    <row r="100" spans="1:8" s="10" customFormat="1" x14ac:dyDescent="0.25">
      <c r="A100" s="41" t="s">
        <v>22</v>
      </c>
      <c r="B100" s="34">
        <f>ROUNDDOWN((D100*F$7),-1)</f>
        <v>280</v>
      </c>
      <c r="C100" s="35">
        <v>16</v>
      </c>
      <c r="D100" s="36">
        <f>B10*0.6+(B11)*0.65+(B12+B13+B17+B18)*0.7+B14*0.75+B15*0.8+F15*10-D42-(D62+D69+D83)*0.6-(D50+D56+D76)*0.1-D91</f>
        <v>0.57501904725000008</v>
      </c>
      <c r="E100" s="37"/>
      <c r="F100" s="38"/>
    </row>
    <row r="101" spans="1:8" s="10" customFormat="1" x14ac:dyDescent="0.25">
      <c r="A101" s="33" t="str">
        <f>A89</f>
        <v>1.h Sauerteig Stufe II</v>
      </c>
      <c r="B101" s="34">
        <f>B89</f>
        <v>157.377425625</v>
      </c>
      <c r="C101" s="118">
        <v>26</v>
      </c>
      <c r="D101" s="36">
        <f>D89</f>
        <v>0.31475485124999991</v>
      </c>
      <c r="E101" s="37"/>
      <c r="F101" s="38"/>
    </row>
    <row r="102" spans="1:8" s="10" customFormat="1" x14ac:dyDescent="0.25">
      <c r="A102" s="33" t="str">
        <f>A60</f>
        <v>1.d entfällt</v>
      </c>
      <c r="B102" s="34">
        <f>B63+B62*75%</f>
        <v>0</v>
      </c>
      <c r="C102" s="35">
        <v>21</v>
      </c>
      <c r="D102" s="36">
        <f>D60</f>
        <v>0</v>
      </c>
      <c r="E102" s="37"/>
      <c r="F102" s="38"/>
    </row>
    <row r="103" spans="1:8" s="10" customFormat="1" x14ac:dyDescent="0.25">
      <c r="A103" s="41" t="str">
        <f>A67</f>
        <v>1.e entfällt</v>
      </c>
      <c r="B103" s="117">
        <f>D103*F$7</f>
        <v>0</v>
      </c>
      <c r="C103" s="118">
        <v>21</v>
      </c>
      <c r="D103" s="119">
        <f>D67</f>
        <v>0</v>
      </c>
      <c r="E103" s="120"/>
      <c r="F103" s="130"/>
      <c r="H103" s="44"/>
    </row>
    <row r="104" spans="1:8" s="10" customFormat="1" x14ac:dyDescent="0.25">
      <c r="A104" s="41" t="str">
        <f>A81</f>
        <v>1.g entfällt</v>
      </c>
      <c r="B104" s="34">
        <f>D104*F$7</f>
        <v>0</v>
      </c>
      <c r="C104" s="35">
        <v>21</v>
      </c>
      <c r="D104" s="36">
        <f>D81</f>
        <v>0</v>
      </c>
      <c r="E104" s="37"/>
      <c r="F104" s="38"/>
    </row>
    <row r="105" spans="1:8" s="10" customFormat="1" x14ac:dyDescent="0.25">
      <c r="A105" s="33" t="s">
        <v>7</v>
      </c>
      <c r="B105" s="34">
        <f t="shared" ref="B105:B121" si="1">D105*F$7</f>
        <v>0</v>
      </c>
      <c r="C105" s="35"/>
      <c r="D105" s="36">
        <f t="shared" ref="D105:D110" si="2">B10</f>
        <v>0</v>
      </c>
      <c r="E105" s="37"/>
      <c r="F105" s="38"/>
    </row>
    <row r="106" spans="1:8" s="10" customFormat="1" x14ac:dyDescent="0.25">
      <c r="A106" s="33" t="s">
        <v>9</v>
      </c>
      <c r="B106" s="34">
        <f t="shared" si="1"/>
        <v>250</v>
      </c>
      <c r="C106" s="35"/>
      <c r="D106" s="36">
        <f t="shared" si="2"/>
        <v>0.5</v>
      </c>
      <c r="E106" s="37"/>
      <c r="F106" s="38"/>
    </row>
    <row r="107" spans="1:8" s="10" customFormat="1" x14ac:dyDescent="0.25">
      <c r="A107" s="33" t="s">
        <v>10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11</v>
      </c>
      <c r="B108" s="34">
        <f t="shared" si="1"/>
        <v>145</v>
      </c>
      <c r="C108" s="35"/>
      <c r="D108" s="36">
        <f t="shared" si="2"/>
        <v>0.28999999999999998</v>
      </c>
      <c r="E108" s="37"/>
      <c r="F108" s="38"/>
    </row>
    <row r="109" spans="1:8" s="10" customFormat="1" x14ac:dyDescent="0.25">
      <c r="A109" s="33" t="s">
        <v>25</v>
      </c>
      <c r="B109" s="34">
        <f t="shared" si="1"/>
        <v>0</v>
      </c>
      <c r="C109" s="35"/>
      <c r="D109" s="36">
        <f t="shared" si="2"/>
        <v>0</v>
      </c>
      <c r="E109" s="37"/>
      <c r="F109" s="38"/>
    </row>
    <row r="110" spans="1:8" s="10" customFormat="1" x14ac:dyDescent="0.25">
      <c r="A110" s="33" t="s">
        <v>13</v>
      </c>
      <c r="B110" s="34">
        <f t="shared" si="1"/>
        <v>0</v>
      </c>
      <c r="C110" s="35"/>
      <c r="D110" s="36">
        <f t="shared" si="2"/>
        <v>0</v>
      </c>
      <c r="E110" s="37"/>
      <c r="F110" s="38"/>
    </row>
    <row r="111" spans="1:8" s="10" customFormat="1" x14ac:dyDescent="0.25">
      <c r="A111" s="33" t="s">
        <v>72</v>
      </c>
      <c r="B111" s="34">
        <f>D111*F$7</f>
        <v>0</v>
      </c>
      <c r="C111" s="35"/>
      <c r="D111" s="36">
        <f>F15</f>
        <v>0</v>
      </c>
      <c r="E111" s="37"/>
      <c r="F111" s="38"/>
    </row>
    <row r="112" spans="1:8" s="47" customFormat="1" x14ac:dyDescent="0.25">
      <c r="A112" s="55" t="s">
        <v>26</v>
      </c>
      <c r="B112" s="176">
        <f>D112*F$7</f>
        <v>0.25</v>
      </c>
      <c r="C112" s="46"/>
      <c r="D112" s="206">
        <v>5.0000000000000001E-4</v>
      </c>
      <c r="E112" s="71"/>
      <c r="F112" s="72"/>
    </row>
    <row r="113" spans="1:8" s="47" customFormat="1" x14ac:dyDescent="0.25">
      <c r="A113" s="75" t="s">
        <v>70</v>
      </c>
      <c r="B113" s="104"/>
      <c r="C113" s="46"/>
      <c r="D113" s="70"/>
      <c r="E113" s="71"/>
      <c r="F113" s="72"/>
    </row>
    <row r="114" spans="1:8" s="10" customFormat="1" x14ac:dyDescent="0.25">
      <c r="A114" s="33" t="s">
        <v>27</v>
      </c>
      <c r="B114" s="34"/>
      <c r="C114" s="35">
        <v>21</v>
      </c>
      <c r="D114" s="36"/>
      <c r="E114" s="37">
        <v>2.0833333333333332E-2</v>
      </c>
      <c r="F114" s="38">
        <f>F116-E114</f>
        <v>46062.659722222219</v>
      </c>
    </row>
    <row r="115" spans="1:8" s="10" customFormat="1" x14ac:dyDescent="0.25">
      <c r="A115" s="33" t="s">
        <v>28</v>
      </c>
      <c r="B115" s="34">
        <f t="shared" si="1"/>
        <v>11.000000000000002</v>
      </c>
      <c r="C115" s="35"/>
      <c r="D115" s="70">
        <f>(B19+F11+F12+F13+F14+F15)*2.2%</f>
        <v>2.2000000000000002E-2</v>
      </c>
      <c r="E115" s="37"/>
      <c r="F115" s="38"/>
    </row>
    <row r="116" spans="1:8" s="10" customFormat="1" x14ac:dyDescent="0.25">
      <c r="A116" s="75" t="s">
        <v>64</v>
      </c>
      <c r="B116" s="34"/>
      <c r="C116" s="35"/>
      <c r="D116" s="36"/>
      <c r="E116" s="48">
        <v>6.9444444444444441E-3</v>
      </c>
      <c r="F116" s="49">
        <f>F125-E116</f>
        <v>46062.680555555555</v>
      </c>
    </row>
    <row r="117" spans="1:8" s="10" customFormat="1" x14ac:dyDescent="0.25">
      <c r="A117" s="75" t="s">
        <v>99</v>
      </c>
      <c r="B117" s="34"/>
      <c r="C117" s="35"/>
      <c r="D117" s="36"/>
      <c r="E117" s="48"/>
      <c r="F117" s="49"/>
    </row>
    <row r="118" spans="1:8" s="10" customFormat="1" x14ac:dyDescent="0.25">
      <c r="A118" s="33" t="s">
        <v>100</v>
      </c>
      <c r="B118" s="34">
        <f>B49+B50*50%</f>
        <v>0</v>
      </c>
      <c r="C118" s="35">
        <f>C47</f>
        <v>21</v>
      </c>
      <c r="D118" s="36">
        <f>D47</f>
        <v>0</v>
      </c>
      <c r="E118" s="37"/>
      <c r="F118" s="38"/>
    </row>
    <row r="119" spans="1:8" s="10" customFormat="1" x14ac:dyDescent="0.25">
      <c r="A119" s="33" t="str">
        <f>A53</f>
        <v>1.c entfällt</v>
      </c>
      <c r="B119" s="173">
        <f>B53</f>
        <v>0</v>
      </c>
      <c r="C119" s="35"/>
      <c r="D119" s="36">
        <f>D53</f>
        <v>0</v>
      </c>
      <c r="E119" s="37"/>
      <c r="F119" s="38"/>
    </row>
    <row r="120" spans="1:8" s="10" customFormat="1" x14ac:dyDescent="0.25">
      <c r="A120" s="12" t="str">
        <f>A74</f>
        <v>1.f entfällt</v>
      </c>
      <c r="B120" s="134">
        <f>B74</f>
        <v>0</v>
      </c>
      <c r="C120" s="118">
        <v>21</v>
      </c>
      <c r="D120" s="50">
        <f>D74</f>
        <v>0</v>
      </c>
      <c r="E120" s="12"/>
      <c r="F120" s="12"/>
      <c r="H120" s="44"/>
    </row>
    <row r="121" spans="1:8" s="10" customFormat="1" x14ac:dyDescent="0.25">
      <c r="A121" s="55" t="s">
        <v>115</v>
      </c>
      <c r="B121" s="173">
        <f t="shared" si="1"/>
        <v>25</v>
      </c>
      <c r="C121" s="35">
        <v>16</v>
      </c>
      <c r="D121" s="36">
        <v>0.05</v>
      </c>
      <c r="E121" s="37"/>
      <c r="F121" s="38"/>
    </row>
    <row r="122" spans="1:8" s="13" customFormat="1" x14ac:dyDescent="0.25">
      <c r="A122" s="33" t="s">
        <v>29</v>
      </c>
      <c r="B122" s="34"/>
      <c r="C122" s="35">
        <v>25</v>
      </c>
      <c r="D122" s="51"/>
      <c r="E122" s="37"/>
      <c r="F122" s="38"/>
    </row>
    <row r="123" spans="1:8" s="10" customFormat="1" x14ac:dyDescent="0.25">
      <c r="A123" s="33"/>
      <c r="B123" s="34"/>
      <c r="C123" s="42"/>
      <c r="D123" s="45"/>
      <c r="E123" s="37"/>
      <c r="F123" s="38"/>
    </row>
    <row r="124" spans="1:8" s="10" customFormat="1" ht="17.5" x14ac:dyDescent="0.35">
      <c r="A124" s="171" t="s">
        <v>85</v>
      </c>
      <c r="B124" s="52"/>
      <c r="C124" s="53"/>
      <c r="D124" s="54"/>
      <c r="E124" s="84"/>
      <c r="F124" s="83"/>
    </row>
    <row r="125" spans="1:8" s="13" customFormat="1" x14ac:dyDescent="0.25">
      <c r="A125" s="33" t="s">
        <v>114</v>
      </c>
      <c r="B125" s="34"/>
      <c r="C125" s="152">
        <v>21</v>
      </c>
      <c r="D125" s="153"/>
      <c r="E125" s="154">
        <v>0.125</v>
      </c>
      <c r="F125" s="155">
        <f>F129-E125</f>
        <v>46062.6875</v>
      </c>
    </row>
    <row r="126" spans="1:8" s="47" customFormat="1" x14ac:dyDescent="0.25">
      <c r="A126" s="55" t="s">
        <v>30</v>
      </c>
      <c r="B126" s="85"/>
      <c r="C126" s="46"/>
      <c r="D126" s="70"/>
      <c r="E126" s="71"/>
      <c r="F126" s="72"/>
    </row>
    <row r="127" spans="1:8" s="10" customFormat="1" x14ac:dyDescent="0.25">
      <c r="A127" s="12"/>
      <c r="B127" s="57"/>
      <c r="C127" s="35"/>
      <c r="D127" s="58"/>
      <c r="E127" s="59"/>
      <c r="F127" s="38"/>
    </row>
    <row r="128" spans="1:8" s="10" customFormat="1" ht="17.5" x14ac:dyDescent="0.35">
      <c r="A128" s="171" t="s">
        <v>31</v>
      </c>
      <c r="B128" s="60"/>
      <c r="C128" s="53"/>
      <c r="D128" s="54"/>
      <c r="E128" s="31"/>
      <c r="F128" s="32"/>
    </row>
    <row r="129" spans="1:7" s="11" customFormat="1" x14ac:dyDescent="0.25">
      <c r="A129" s="75" t="s">
        <v>32</v>
      </c>
      <c r="B129" s="79"/>
      <c r="C129" s="77"/>
      <c r="D129" s="80"/>
      <c r="E129" s="48">
        <v>6.9444444444444441E-3</v>
      </c>
      <c r="F129" s="49">
        <f>F131-E129</f>
        <v>46062.8125</v>
      </c>
    </row>
    <row r="130" spans="1:7" s="13" customFormat="1" ht="13" thickBot="1" x14ac:dyDescent="0.3">
      <c r="A130" s="86" t="s">
        <v>119</v>
      </c>
      <c r="C130" s="87"/>
      <c r="D130" s="88"/>
    </row>
    <row r="131" spans="1:7" s="10" customFormat="1" ht="13" thickBot="1" x14ac:dyDescent="0.3">
      <c r="A131" s="64" t="s">
        <v>103</v>
      </c>
      <c r="B131" s="65"/>
      <c r="C131" s="66">
        <v>5</v>
      </c>
      <c r="D131" s="67" t="s">
        <v>33</v>
      </c>
      <c r="E131" s="68">
        <v>0.58333333333333337</v>
      </c>
      <c r="F131" s="38">
        <f>F135-E131</f>
        <v>46062.819444444445</v>
      </c>
    </row>
    <row r="133" spans="1:7" s="10" customFormat="1" ht="17.5" x14ac:dyDescent="0.35">
      <c r="A133" s="171" t="s">
        <v>65</v>
      </c>
      <c r="B133" s="60"/>
      <c r="C133" s="61"/>
      <c r="D133" s="54"/>
      <c r="E133" s="31"/>
      <c r="F133" s="32"/>
    </row>
    <row r="134" spans="1:7" s="10" customFormat="1" x14ac:dyDescent="0.25">
      <c r="A134" s="55" t="s">
        <v>113</v>
      </c>
      <c r="B134" s="56"/>
      <c r="C134" s="35">
        <v>250</v>
      </c>
      <c r="D134" s="80"/>
      <c r="E134" s="37">
        <v>2.0833333333333332E-2</v>
      </c>
      <c r="F134" s="38">
        <f>F138-E134</f>
        <v>46063.385416666664</v>
      </c>
    </row>
    <row r="135" spans="1:7" s="11" customFormat="1" x14ac:dyDescent="0.25">
      <c r="A135" s="75" t="s">
        <v>104</v>
      </c>
      <c r="B135" s="79"/>
      <c r="C135" s="77"/>
      <c r="E135" s="48">
        <v>3.472222222222222E-3</v>
      </c>
      <c r="F135" s="49">
        <f>F138-E135</f>
        <v>46063.402777777781</v>
      </c>
    </row>
    <row r="136" spans="1:7" s="11" customFormat="1" x14ac:dyDescent="0.25">
      <c r="A136" s="79" t="s">
        <v>34</v>
      </c>
      <c r="B136" s="81"/>
      <c r="C136" s="77"/>
      <c r="D136" s="80"/>
      <c r="E136" s="48"/>
      <c r="F136" s="49"/>
    </row>
    <row r="137" spans="1:7" s="11" customFormat="1" x14ac:dyDescent="0.25">
      <c r="A137" s="75" t="s">
        <v>35</v>
      </c>
      <c r="B137" s="76"/>
      <c r="C137" s="77"/>
      <c r="D137" s="80"/>
      <c r="E137" s="48"/>
      <c r="F137" s="49"/>
    </row>
    <row r="138" spans="1:7" s="10" customFormat="1" x14ac:dyDescent="0.25">
      <c r="A138" s="55" t="s">
        <v>36</v>
      </c>
      <c r="B138" s="34"/>
      <c r="C138" s="35">
        <v>240</v>
      </c>
      <c r="D138" s="58"/>
      <c r="E138" s="37">
        <v>6.9444444444444441E-3</v>
      </c>
      <c r="F138" s="38">
        <f>F140-E138</f>
        <v>46063.40625</v>
      </c>
    </row>
    <row r="139" spans="1:7" s="11" customFormat="1" x14ac:dyDescent="0.25">
      <c r="A139" s="75" t="s">
        <v>37</v>
      </c>
      <c r="B139" s="76"/>
      <c r="C139" s="77"/>
      <c r="D139" s="80"/>
      <c r="E139" s="48"/>
      <c r="F139" s="49"/>
    </row>
    <row r="140" spans="1:7" s="10" customFormat="1" x14ac:dyDescent="0.25">
      <c r="A140" s="55" t="s">
        <v>38</v>
      </c>
      <c r="B140" s="56"/>
      <c r="C140" s="35">
        <v>210</v>
      </c>
      <c r="D140" s="51"/>
      <c r="E140" s="37">
        <v>2.4305555555555556E-2</v>
      </c>
      <c r="F140" s="38">
        <f>F141-E140</f>
        <v>46063.413194444445</v>
      </c>
    </row>
    <row r="141" spans="1:7" s="10" customFormat="1" x14ac:dyDescent="0.25">
      <c r="A141" s="55" t="s">
        <v>39</v>
      </c>
      <c r="B141" s="56"/>
      <c r="C141" s="35"/>
      <c r="D141" s="58"/>
      <c r="E141" s="37"/>
      <c r="F141" s="38">
        <f>F5+F6</f>
        <v>46063.4375</v>
      </c>
    </row>
    <row r="142" spans="1:7" s="10" customFormat="1" ht="26" customHeight="1" x14ac:dyDescent="0.25">
      <c r="F142" s="63"/>
    </row>
    <row r="143" spans="1:7" customFormat="1" ht="14.5" customHeight="1" x14ac:dyDescent="0.35">
      <c r="A143" s="3"/>
      <c r="B143" s="209" t="s">
        <v>81</v>
      </c>
      <c r="C143" s="210"/>
      <c r="D143" s="210"/>
      <c r="E143" s="3"/>
      <c r="F143" s="3"/>
    </row>
    <row r="144" spans="1:7" customFormat="1" ht="14.5" x14ac:dyDescent="0.35">
      <c r="A144" s="3"/>
      <c r="B144" s="210"/>
      <c r="C144" s="210"/>
      <c r="D144" s="210"/>
      <c r="E144" s="3"/>
      <c r="F144" s="3"/>
      <c r="G144" s="74"/>
    </row>
    <row r="145" spans="1:14" customFormat="1" ht="14.5" x14ac:dyDescent="0.35">
      <c r="A145" s="3"/>
      <c r="B145" s="210"/>
      <c r="C145" s="210"/>
      <c r="D145" s="210"/>
      <c r="E145" s="3"/>
      <c r="F145" s="3"/>
      <c r="G145" s="74"/>
    </row>
    <row r="146" spans="1:14" customFormat="1" ht="14.5" x14ac:dyDescent="0.35">
      <c r="A146" s="3"/>
      <c r="B146" s="3"/>
      <c r="C146" s="3"/>
      <c r="D146" s="3"/>
      <c r="E146" s="3"/>
      <c r="F146" s="3"/>
      <c r="G146" s="74"/>
    </row>
    <row r="147" spans="1:14" customFormat="1" ht="14.5" x14ac:dyDescent="0.35">
      <c r="A147" s="3"/>
      <c r="B147" s="3"/>
      <c r="C147" s="3"/>
      <c r="D147" s="3"/>
      <c r="E147" s="3"/>
      <c r="F147" s="3"/>
      <c r="G147" s="74"/>
    </row>
    <row r="148" spans="1:14" customFormat="1" ht="14.5" x14ac:dyDescent="0.35">
      <c r="A148" s="3"/>
      <c r="B148" s="3"/>
      <c r="C148" s="3"/>
      <c r="D148" s="3"/>
      <c r="E148" s="3"/>
      <c r="F148" s="3"/>
      <c r="G148" s="74"/>
    </row>
    <row r="149" spans="1:14" customFormat="1" ht="14.5" x14ac:dyDescent="0.35">
      <c r="A149" s="3"/>
      <c r="B149" s="3"/>
      <c r="C149" s="3"/>
      <c r="D149" s="3"/>
      <c r="E149" s="3"/>
      <c r="F149" s="3"/>
      <c r="G149" s="74"/>
    </row>
    <row r="150" spans="1:14" customFormat="1" ht="14.5" x14ac:dyDescent="0.35">
      <c r="A150" s="3"/>
      <c r="B150" s="108"/>
      <c r="C150" s="73"/>
      <c r="D150" s="74"/>
      <c r="E150" s="74"/>
      <c r="F150" s="74"/>
      <c r="G150" s="74"/>
    </row>
    <row r="151" spans="1:14" s="90" customFormat="1" ht="10.5" hidden="1" x14ac:dyDescent="0.25">
      <c r="B151" s="91"/>
      <c r="C151" s="92"/>
      <c r="D151" s="93"/>
      <c r="E151" s="93"/>
      <c r="F151" s="93"/>
      <c r="G151" s="93"/>
    </row>
    <row r="152" spans="1:14" s="90" customFormat="1" ht="11" hidden="1" thickBot="1" x14ac:dyDescent="0.3">
      <c r="A152" s="94" t="s">
        <v>45</v>
      </c>
      <c r="B152" s="95"/>
      <c r="C152" s="91" t="s">
        <v>40</v>
      </c>
      <c r="D152" s="91" t="s">
        <v>41</v>
      </c>
      <c r="E152" s="91" t="s">
        <v>42</v>
      </c>
      <c r="F152" s="91" t="s">
        <v>43</v>
      </c>
      <c r="G152" s="91" t="s">
        <v>44</v>
      </c>
      <c r="I152" s="91" t="s">
        <v>73</v>
      </c>
      <c r="J152" s="91" t="s">
        <v>40</v>
      </c>
      <c r="K152" s="91" t="s">
        <v>41</v>
      </c>
      <c r="L152" s="91" t="s">
        <v>42</v>
      </c>
      <c r="M152" s="91" t="s">
        <v>43</v>
      </c>
      <c r="N152" s="91" t="s">
        <v>44</v>
      </c>
    </row>
    <row r="153" spans="1:14" s="90" customFormat="1" ht="10.5" hidden="1" x14ac:dyDescent="0.25">
      <c r="A153" s="96" t="s">
        <v>22</v>
      </c>
      <c r="B153" s="97">
        <f>B25</f>
        <v>354.99047637499996</v>
      </c>
      <c r="C153" s="92">
        <f t="shared" ref="C153:C176" si="3">J153/100*$B153</f>
        <v>0</v>
      </c>
      <c r="D153" s="93">
        <f t="shared" ref="D153:D176" si="4">K153/100*$B153</f>
        <v>0</v>
      </c>
      <c r="E153" s="93">
        <f t="shared" ref="E153:E176" si="5">L153/100*$B153</f>
        <v>0</v>
      </c>
      <c r="F153" s="93">
        <f t="shared" ref="F153:F176" si="6">M153/100*$B153</f>
        <v>0</v>
      </c>
      <c r="G153" s="93">
        <f t="shared" ref="G153:G176" si="7">N153/100*$B153</f>
        <v>0</v>
      </c>
      <c r="I153" s="91" t="s">
        <v>22</v>
      </c>
      <c r="J153" s="92">
        <v>0</v>
      </c>
      <c r="K153" s="93">
        <v>0</v>
      </c>
      <c r="L153" s="93">
        <v>0</v>
      </c>
      <c r="M153" s="93">
        <v>0</v>
      </c>
      <c r="N153" s="93">
        <v>0</v>
      </c>
    </row>
    <row r="154" spans="1:14" s="90" customFormat="1" ht="10.5" hidden="1" x14ac:dyDescent="0.25">
      <c r="A154" s="98" t="s">
        <v>7</v>
      </c>
      <c r="B154" s="99">
        <f>B10*$F$7</f>
        <v>0</v>
      </c>
      <c r="C154" s="92">
        <f t="shared" si="3"/>
        <v>0</v>
      </c>
      <c r="D154" s="93">
        <f t="shared" si="4"/>
        <v>0</v>
      </c>
      <c r="E154" s="93">
        <f t="shared" si="5"/>
        <v>0</v>
      </c>
      <c r="F154" s="93">
        <f t="shared" si="6"/>
        <v>0</v>
      </c>
      <c r="G154" s="93">
        <f t="shared" si="7"/>
        <v>0</v>
      </c>
      <c r="I154" s="91" t="s">
        <v>7</v>
      </c>
      <c r="J154" s="92">
        <v>350</v>
      </c>
      <c r="K154" s="93">
        <v>71.7</v>
      </c>
      <c r="L154" s="93">
        <v>11.7</v>
      </c>
      <c r="M154" s="93">
        <v>2.2000000000000002</v>
      </c>
      <c r="N154" s="93">
        <v>0.8</v>
      </c>
    </row>
    <row r="155" spans="1:14" s="90" customFormat="1" ht="10.5" hidden="1" x14ac:dyDescent="0.25">
      <c r="A155" s="98" t="s">
        <v>9</v>
      </c>
      <c r="B155" s="99">
        <f>(B11)*$F$7</f>
        <v>250</v>
      </c>
      <c r="C155" s="92">
        <f t="shared" si="3"/>
        <v>867.5</v>
      </c>
      <c r="D155" s="93">
        <f t="shared" si="4"/>
        <v>180</v>
      </c>
      <c r="E155" s="93">
        <f t="shared" si="5"/>
        <v>26.5</v>
      </c>
      <c r="F155" s="93">
        <f t="shared" si="6"/>
        <v>8.75</v>
      </c>
      <c r="G155" s="93">
        <f t="shared" si="7"/>
        <v>2.7500000000000004</v>
      </c>
      <c r="I155" s="91" t="s">
        <v>9</v>
      </c>
      <c r="J155" s="92">
        <v>347</v>
      </c>
      <c r="K155" s="93">
        <v>72</v>
      </c>
      <c r="L155" s="93">
        <v>10.6</v>
      </c>
      <c r="M155" s="93">
        <v>3.5</v>
      </c>
      <c r="N155" s="93">
        <v>1.1000000000000001</v>
      </c>
    </row>
    <row r="156" spans="1:14" s="90" customFormat="1" ht="10.5" hidden="1" x14ac:dyDescent="0.25">
      <c r="A156" s="98" t="s">
        <v>46</v>
      </c>
      <c r="B156" s="99">
        <f>(B12+B18/2)*$F$7</f>
        <v>52.5</v>
      </c>
      <c r="C156" s="92">
        <f t="shared" si="3"/>
        <v>170.625</v>
      </c>
      <c r="D156" s="93">
        <f t="shared" si="4"/>
        <v>35.647500000000001</v>
      </c>
      <c r="E156" s="93">
        <f t="shared" si="5"/>
        <v>3.8850000000000007</v>
      </c>
      <c r="F156" s="93">
        <f t="shared" si="6"/>
        <v>3.6225000000000005</v>
      </c>
      <c r="G156" s="93">
        <f t="shared" si="7"/>
        <v>0.57750000000000001</v>
      </c>
      <c r="I156" s="91" t="s">
        <v>46</v>
      </c>
      <c r="J156" s="92">
        <v>325</v>
      </c>
      <c r="K156" s="93">
        <v>67.900000000000006</v>
      </c>
      <c r="L156" s="93">
        <v>7.4</v>
      </c>
      <c r="M156" s="93">
        <v>6.9</v>
      </c>
      <c r="N156" s="93">
        <v>1.1000000000000001</v>
      </c>
    </row>
    <row r="157" spans="1:14" s="90" customFormat="1" ht="10.5" hidden="1" x14ac:dyDescent="0.25">
      <c r="A157" s="98" t="s">
        <v>11</v>
      </c>
      <c r="B157" s="99">
        <f>(B13+B17)*$F$7</f>
        <v>145</v>
      </c>
      <c r="C157" s="92">
        <f t="shared" si="3"/>
        <v>514.75</v>
      </c>
      <c r="D157" s="93">
        <f t="shared" si="4"/>
        <v>92.364999999999995</v>
      </c>
      <c r="E157" s="93">
        <f t="shared" si="5"/>
        <v>18.414999999999999</v>
      </c>
      <c r="F157" s="93">
        <f t="shared" si="6"/>
        <v>12.035</v>
      </c>
      <c r="G157" s="93">
        <f t="shared" si="7"/>
        <v>2.4650000000000003</v>
      </c>
      <c r="I157" s="91" t="s">
        <v>11</v>
      </c>
      <c r="J157" s="92">
        <v>355</v>
      </c>
      <c r="K157" s="93">
        <v>63.7</v>
      </c>
      <c r="L157" s="93">
        <v>12.7</v>
      </c>
      <c r="M157" s="93">
        <v>8.3000000000000007</v>
      </c>
      <c r="N157" s="93">
        <v>1.7</v>
      </c>
    </row>
    <row r="158" spans="1:14" s="90" customFormat="1" ht="10.5" hidden="1" x14ac:dyDescent="0.25">
      <c r="A158" s="98" t="s">
        <v>25</v>
      </c>
      <c r="B158" s="99">
        <f>B14*$F$7</f>
        <v>0</v>
      </c>
      <c r="C158" s="92">
        <f t="shared" si="3"/>
        <v>0</v>
      </c>
      <c r="D158" s="93">
        <f t="shared" si="4"/>
        <v>0</v>
      </c>
      <c r="E158" s="93">
        <f t="shared" si="5"/>
        <v>0</v>
      </c>
      <c r="F158" s="93">
        <f t="shared" si="6"/>
        <v>0</v>
      </c>
      <c r="G158" s="93">
        <f t="shared" si="7"/>
        <v>0</v>
      </c>
      <c r="I158" s="91" t="s">
        <v>25</v>
      </c>
      <c r="J158" s="92">
        <v>325</v>
      </c>
      <c r="K158" s="93">
        <v>59.5</v>
      </c>
      <c r="L158" s="93">
        <v>11.4</v>
      </c>
      <c r="M158" s="93">
        <v>10</v>
      </c>
      <c r="N158" s="93">
        <v>0.9</v>
      </c>
    </row>
    <row r="159" spans="1:14" s="90" customFormat="1" ht="10.5" hidden="1" x14ac:dyDescent="0.25">
      <c r="A159" s="98" t="s">
        <v>13</v>
      </c>
      <c r="B159" s="99">
        <f>(B15+B18/2)*$F$7</f>
        <v>52.5</v>
      </c>
      <c r="C159" s="92">
        <f t="shared" si="3"/>
        <v>169.57499999999999</v>
      </c>
      <c r="D159" s="93">
        <f t="shared" si="4"/>
        <v>31.8675</v>
      </c>
      <c r="E159" s="93">
        <f t="shared" si="5"/>
        <v>4.9874999999999998</v>
      </c>
      <c r="F159" s="93">
        <f t="shared" si="6"/>
        <v>7.0350000000000001</v>
      </c>
      <c r="G159" s="93">
        <f t="shared" si="7"/>
        <v>0.54074999999999995</v>
      </c>
      <c r="I159" s="91" t="s">
        <v>13</v>
      </c>
      <c r="J159" s="92">
        <v>323</v>
      </c>
      <c r="K159" s="93">
        <v>60.7</v>
      </c>
      <c r="L159" s="93">
        <v>9.5</v>
      </c>
      <c r="M159" s="93">
        <v>13.4</v>
      </c>
      <c r="N159" s="93">
        <v>1.03</v>
      </c>
    </row>
    <row r="160" spans="1:14" s="90" customFormat="1" ht="10.5" hidden="1" x14ac:dyDescent="0.25">
      <c r="A160" s="98" t="s">
        <v>72</v>
      </c>
      <c r="B160" s="99">
        <f>B111</f>
        <v>0</v>
      </c>
      <c r="C160" s="92">
        <f t="shared" si="3"/>
        <v>0</v>
      </c>
      <c r="D160" s="93">
        <f t="shared" si="4"/>
        <v>0</v>
      </c>
      <c r="E160" s="93">
        <f t="shared" si="5"/>
        <v>0</v>
      </c>
      <c r="F160" s="93">
        <f t="shared" si="6"/>
        <v>0</v>
      </c>
      <c r="G160" s="93">
        <f t="shared" si="7"/>
        <v>0</v>
      </c>
      <c r="I160" s="91" t="s">
        <v>72</v>
      </c>
      <c r="J160" s="92">
        <v>200</v>
      </c>
      <c r="K160" s="93">
        <v>3.5</v>
      </c>
      <c r="L160" s="93">
        <v>2</v>
      </c>
      <c r="M160" s="93">
        <v>85</v>
      </c>
      <c r="N160" s="93">
        <v>1.5</v>
      </c>
    </row>
    <row r="161" spans="1:14" s="90" customFormat="1" ht="10.5" hidden="1" x14ac:dyDescent="0.25">
      <c r="A161" s="98" t="s">
        <v>47</v>
      </c>
      <c r="B161" s="99">
        <v>0</v>
      </c>
      <c r="C161" s="92">
        <f t="shared" si="3"/>
        <v>0</v>
      </c>
      <c r="D161" s="93">
        <f t="shared" si="4"/>
        <v>0</v>
      </c>
      <c r="E161" s="93">
        <f t="shared" si="5"/>
        <v>0</v>
      </c>
      <c r="F161" s="93">
        <f t="shared" si="6"/>
        <v>0</v>
      </c>
      <c r="G161" s="93">
        <f t="shared" si="7"/>
        <v>0</v>
      </c>
      <c r="I161" s="91" t="s">
        <v>47</v>
      </c>
      <c r="J161" s="92">
        <v>127</v>
      </c>
      <c r="K161" s="93">
        <v>12.5</v>
      </c>
      <c r="L161" s="93">
        <v>11.1</v>
      </c>
      <c r="M161" s="93">
        <v>10.199999999999999</v>
      </c>
      <c r="N161" s="93">
        <v>2</v>
      </c>
    </row>
    <row r="162" spans="1:14" s="90" customFormat="1" ht="10.5" hidden="1" x14ac:dyDescent="0.25">
      <c r="A162" s="98" t="s">
        <v>28</v>
      </c>
      <c r="B162" s="99">
        <f>B115</f>
        <v>11.000000000000002</v>
      </c>
      <c r="C162" s="92">
        <f t="shared" si="3"/>
        <v>0</v>
      </c>
      <c r="D162" s="93">
        <f t="shared" si="4"/>
        <v>0</v>
      </c>
      <c r="E162" s="93">
        <f t="shared" si="5"/>
        <v>0</v>
      </c>
      <c r="F162" s="93">
        <f t="shared" si="6"/>
        <v>0</v>
      </c>
      <c r="G162" s="93">
        <f t="shared" si="7"/>
        <v>0</v>
      </c>
      <c r="I162" s="91" t="s">
        <v>28</v>
      </c>
      <c r="J162" s="92">
        <v>0</v>
      </c>
      <c r="K162" s="93">
        <v>0</v>
      </c>
      <c r="L162" s="93">
        <v>0</v>
      </c>
      <c r="M162" s="93">
        <v>0</v>
      </c>
      <c r="N162" s="93">
        <v>0</v>
      </c>
    </row>
    <row r="163" spans="1:14" s="90" customFormat="1" ht="10.5" hidden="1" x14ac:dyDescent="0.25">
      <c r="A163" s="98" t="s">
        <v>48</v>
      </c>
      <c r="B163" s="99">
        <f>0</f>
        <v>0</v>
      </c>
      <c r="C163" s="92">
        <f t="shared" si="3"/>
        <v>0</v>
      </c>
      <c r="D163" s="93">
        <f t="shared" si="4"/>
        <v>0</v>
      </c>
      <c r="E163" s="93">
        <f t="shared" si="5"/>
        <v>0</v>
      </c>
      <c r="F163" s="93">
        <f t="shared" si="6"/>
        <v>0</v>
      </c>
      <c r="G163" s="93">
        <f t="shared" si="7"/>
        <v>0</v>
      </c>
      <c r="I163" s="91" t="s">
        <v>48</v>
      </c>
      <c r="J163" s="92">
        <v>304</v>
      </c>
      <c r="K163" s="93">
        <v>82.4</v>
      </c>
      <c r="L163" s="93">
        <v>0.3</v>
      </c>
      <c r="M163" s="93">
        <v>0.2</v>
      </c>
      <c r="N163" s="93">
        <v>0</v>
      </c>
    </row>
    <row r="164" spans="1:14" s="90" customFormat="1" ht="10.5" hidden="1" x14ac:dyDescent="0.25">
      <c r="A164" s="98" t="s">
        <v>8</v>
      </c>
      <c r="B164" s="99">
        <f>F10*$F$7</f>
        <v>0</v>
      </c>
      <c r="C164" s="92">
        <f t="shared" si="3"/>
        <v>0</v>
      </c>
      <c r="D164" s="93">
        <f t="shared" si="4"/>
        <v>0</v>
      </c>
      <c r="E164" s="93">
        <f t="shared" si="5"/>
        <v>0</v>
      </c>
      <c r="F164" s="93">
        <f t="shared" si="6"/>
        <v>0</v>
      </c>
      <c r="G164" s="93">
        <f t="shared" si="7"/>
        <v>0</v>
      </c>
      <c r="I164" s="91" t="s">
        <v>8</v>
      </c>
      <c r="J164" s="92">
        <v>213</v>
      </c>
      <c r="K164" s="93">
        <v>43</v>
      </c>
      <c r="L164" s="93">
        <v>6.6</v>
      </c>
      <c r="M164" s="93">
        <v>5</v>
      </c>
      <c r="N164" s="93">
        <v>0.9</v>
      </c>
    </row>
    <row r="165" spans="1:14" s="90" customFormat="1" ht="10.5" hidden="1" x14ac:dyDescent="0.25">
      <c r="A165" s="98" t="s">
        <v>49</v>
      </c>
      <c r="B165" s="99">
        <v>0</v>
      </c>
      <c r="C165" s="92">
        <f t="shared" si="3"/>
        <v>0</v>
      </c>
      <c r="D165" s="93">
        <f t="shared" si="4"/>
        <v>0</v>
      </c>
      <c r="E165" s="93">
        <f t="shared" si="5"/>
        <v>0</v>
      </c>
      <c r="F165" s="93">
        <f t="shared" si="6"/>
        <v>0</v>
      </c>
      <c r="G165" s="93">
        <f t="shared" si="7"/>
        <v>0</v>
      </c>
      <c r="I165" s="91" t="s">
        <v>49</v>
      </c>
      <c r="J165" s="92">
        <v>598</v>
      </c>
      <c r="K165" s="93">
        <v>10.199999999999999</v>
      </c>
      <c r="L165" s="93">
        <v>20</v>
      </c>
      <c r="M165" s="93">
        <v>12</v>
      </c>
      <c r="N165" s="93">
        <v>50.7</v>
      </c>
    </row>
    <row r="166" spans="1:14" s="90" customFormat="1" ht="10.5" hidden="1" x14ac:dyDescent="0.25">
      <c r="A166" s="98" t="s">
        <v>50</v>
      </c>
      <c r="B166" s="99">
        <f>B55</f>
        <v>0</v>
      </c>
      <c r="C166" s="92">
        <f t="shared" si="3"/>
        <v>0</v>
      </c>
      <c r="D166" s="93">
        <f t="shared" si="4"/>
        <v>0</v>
      </c>
      <c r="E166" s="93">
        <f t="shared" si="5"/>
        <v>0</v>
      </c>
      <c r="F166" s="93">
        <f t="shared" si="6"/>
        <v>0</v>
      </c>
      <c r="G166" s="93">
        <f t="shared" si="7"/>
        <v>0</v>
      </c>
      <c r="I166" s="91" t="s">
        <v>50</v>
      </c>
      <c r="J166" s="92">
        <v>500</v>
      </c>
      <c r="K166" s="93">
        <v>7.8</v>
      </c>
      <c r="L166" s="93">
        <v>23</v>
      </c>
      <c r="M166" s="93">
        <v>27.5</v>
      </c>
      <c r="N166" s="93">
        <v>37</v>
      </c>
    </row>
    <row r="167" spans="1:14" s="90" customFormat="1" ht="10.5" hidden="1" x14ac:dyDescent="0.25">
      <c r="A167" s="98" t="s">
        <v>51</v>
      </c>
      <c r="B167" s="99">
        <v>0</v>
      </c>
      <c r="C167" s="92">
        <f t="shared" si="3"/>
        <v>0</v>
      </c>
      <c r="D167" s="93">
        <f t="shared" si="4"/>
        <v>0</v>
      </c>
      <c r="E167" s="93">
        <f t="shared" si="5"/>
        <v>0</v>
      </c>
      <c r="F167" s="93">
        <f t="shared" si="6"/>
        <v>0</v>
      </c>
      <c r="G167" s="93">
        <f t="shared" si="7"/>
        <v>0</v>
      </c>
      <c r="I167" s="91" t="s">
        <v>51</v>
      </c>
      <c r="J167" s="92">
        <v>533</v>
      </c>
      <c r="K167" s="93">
        <v>23.69</v>
      </c>
      <c r="L167" s="93">
        <v>18.04</v>
      </c>
      <c r="M167" s="93">
        <v>10</v>
      </c>
      <c r="N167" s="93">
        <v>44.7</v>
      </c>
    </row>
    <row r="168" spans="1:14" s="90" customFormat="1" ht="10.5" hidden="1" x14ac:dyDescent="0.25">
      <c r="A168" s="98" t="s">
        <v>52</v>
      </c>
      <c r="B168" s="99">
        <v>0</v>
      </c>
      <c r="C168" s="92">
        <f t="shared" si="3"/>
        <v>0</v>
      </c>
      <c r="D168" s="93">
        <f t="shared" si="4"/>
        <v>0</v>
      </c>
      <c r="E168" s="93">
        <f t="shared" si="5"/>
        <v>0</v>
      </c>
      <c r="F168" s="93">
        <f t="shared" si="6"/>
        <v>0</v>
      </c>
      <c r="G168" s="93">
        <f t="shared" si="7"/>
        <v>0</v>
      </c>
      <c r="I168" s="91" t="s">
        <v>52</v>
      </c>
      <c r="J168" s="92">
        <v>584</v>
      </c>
      <c r="K168" s="93">
        <v>11.4</v>
      </c>
      <c r="L168" s="93">
        <v>20.8</v>
      </c>
      <c r="M168" s="93">
        <v>8.6</v>
      </c>
      <c r="N168" s="93">
        <v>51.5</v>
      </c>
    </row>
    <row r="169" spans="1:14" s="90" customFormat="1" ht="10.5" hidden="1" x14ac:dyDescent="0.25">
      <c r="A169" s="98" t="s">
        <v>75</v>
      </c>
      <c r="B169" s="99">
        <f>B49</f>
        <v>0</v>
      </c>
      <c r="C169" s="92">
        <f t="shared" ref="C169" si="8">J169/100*$B169</f>
        <v>0</v>
      </c>
      <c r="D169" s="93">
        <f t="shared" ref="D169" si="9">K169/100*$B169</f>
        <v>0</v>
      </c>
      <c r="E169" s="93">
        <f t="shared" ref="E169" si="10">L169/100*$B169</f>
        <v>0</v>
      </c>
      <c r="F169" s="93">
        <f t="shared" ref="F169" si="11">M169/100*$B169</f>
        <v>0</v>
      </c>
      <c r="G169" s="93">
        <f t="shared" ref="G169" si="12">N169/100*$B169</f>
        <v>0</v>
      </c>
      <c r="I169" s="91" t="s">
        <v>75</v>
      </c>
      <c r="J169" s="92">
        <v>620</v>
      </c>
      <c r="K169" s="93">
        <v>19</v>
      </c>
      <c r="L169" s="93">
        <v>17</v>
      </c>
      <c r="M169" s="93">
        <v>7.5</v>
      </c>
      <c r="N169" s="93">
        <v>53</v>
      </c>
    </row>
    <row r="170" spans="1:14" s="90" customFormat="1" ht="10.5" hidden="1" x14ac:dyDescent="0.25">
      <c r="A170" s="98" t="s">
        <v>53</v>
      </c>
      <c r="B170" s="99">
        <f>B63</f>
        <v>0</v>
      </c>
      <c r="C170" s="92">
        <f t="shared" si="3"/>
        <v>0</v>
      </c>
      <c r="D170" s="93">
        <f t="shared" si="4"/>
        <v>0</v>
      </c>
      <c r="E170" s="93">
        <f t="shared" si="5"/>
        <v>0</v>
      </c>
      <c r="F170" s="93">
        <f t="shared" si="6"/>
        <v>0</v>
      </c>
      <c r="G170" s="93">
        <f t="shared" si="7"/>
        <v>0</v>
      </c>
      <c r="I170" s="91" t="s">
        <v>53</v>
      </c>
      <c r="J170" s="92">
        <v>371</v>
      </c>
      <c r="K170" s="93">
        <v>58.7</v>
      </c>
      <c r="L170" s="93">
        <v>13.5</v>
      </c>
      <c r="M170" s="93">
        <v>10</v>
      </c>
      <c r="N170" s="93">
        <v>7</v>
      </c>
    </row>
    <row r="171" spans="1:14" s="90" customFormat="1" ht="10.5" hidden="1" x14ac:dyDescent="0.25">
      <c r="A171" s="98" t="s">
        <v>54</v>
      </c>
      <c r="B171" s="99">
        <v>0</v>
      </c>
      <c r="C171" s="92">
        <f t="shared" si="3"/>
        <v>0</v>
      </c>
      <c r="D171" s="93">
        <f t="shared" si="4"/>
        <v>0</v>
      </c>
      <c r="E171" s="93">
        <f t="shared" si="5"/>
        <v>0</v>
      </c>
      <c r="F171" s="93">
        <f t="shared" si="6"/>
        <v>0</v>
      </c>
      <c r="G171" s="93">
        <f t="shared" si="7"/>
        <v>0</v>
      </c>
      <c r="I171" s="91" t="s">
        <v>54</v>
      </c>
      <c r="J171" s="92">
        <v>352</v>
      </c>
      <c r="K171" s="93">
        <v>66.400000000000006</v>
      </c>
      <c r="L171" s="93">
        <v>11.9</v>
      </c>
      <c r="M171" s="93">
        <v>0</v>
      </c>
      <c r="N171" s="93">
        <v>2.8</v>
      </c>
    </row>
    <row r="172" spans="1:14" s="90" customFormat="1" ht="10.5" hidden="1" x14ac:dyDescent="0.25">
      <c r="A172" s="98" t="s">
        <v>55</v>
      </c>
      <c r="B172" s="99">
        <f>B77</f>
        <v>0</v>
      </c>
      <c r="C172" s="92">
        <f t="shared" si="3"/>
        <v>0</v>
      </c>
      <c r="D172" s="93">
        <f t="shared" si="4"/>
        <v>0</v>
      </c>
      <c r="E172" s="93">
        <f t="shared" si="5"/>
        <v>0</v>
      </c>
      <c r="F172" s="93">
        <f t="shared" si="6"/>
        <v>0</v>
      </c>
      <c r="G172" s="93">
        <f t="shared" si="7"/>
        <v>0</v>
      </c>
      <c r="I172" s="91" t="s">
        <v>55</v>
      </c>
      <c r="J172" s="92">
        <v>327</v>
      </c>
      <c r="K172" s="93">
        <v>59.6</v>
      </c>
      <c r="L172" s="93">
        <v>11.4</v>
      </c>
      <c r="M172" s="93">
        <v>0</v>
      </c>
      <c r="N172" s="93">
        <v>1.8</v>
      </c>
    </row>
    <row r="173" spans="1:14" s="90" customFormat="1" ht="10.5" hidden="1" x14ac:dyDescent="0.25">
      <c r="A173" s="98" t="s">
        <v>56</v>
      </c>
      <c r="B173" s="99">
        <v>0</v>
      </c>
      <c r="C173" s="92">
        <f t="shared" si="3"/>
        <v>0</v>
      </c>
      <c r="D173" s="93">
        <f t="shared" si="4"/>
        <v>0</v>
      </c>
      <c r="E173" s="93">
        <f t="shared" si="5"/>
        <v>0</v>
      </c>
      <c r="F173" s="93">
        <f t="shared" si="6"/>
        <v>0</v>
      </c>
      <c r="G173" s="93">
        <f t="shared" si="7"/>
        <v>0</v>
      </c>
      <c r="I173" s="91" t="s">
        <v>56</v>
      </c>
      <c r="J173" s="92">
        <v>330</v>
      </c>
      <c r="K173" s="93">
        <v>63.3</v>
      </c>
      <c r="L173" s="93">
        <v>8.8000000000000007</v>
      </c>
      <c r="M173" s="93">
        <v>0</v>
      </c>
      <c r="N173" s="93">
        <v>1.8</v>
      </c>
    </row>
    <row r="174" spans="1:14" s="90" customFormat="1" ht="10.5" hidden="1" x14ac:dyDescent="0.25">
      <c r="A174" s="98" t="s">
        <v>57</v>
      </c>
      <c r="B174" s="99">
        <v>0</v>
      </c>
      <c r="C174" s="92">
        <f t="shared" si="3"/>
        <v>0</v>
      </c>
      <c r="D174" s="93">
        <f t="shared" si="4"/>
        <v>0</v>
      </c>
      <c r="E174" s="93">
        <f t="shared" si="5"/>
        <v>0</v>
      </c>
      <c r="F174" s="93">
        <f t="shared" si="6"/>
        <v>0</v>
      </c>
      <c r="G174" s="93">
        <f t="shared" si="7"/>
        <v>0</v>
      </c>
      <c r="I174" s="91" t="s">
        <v>57</v>
      </c>
      <c r="J174" s="92">
        <v>347</v>
      </c>
      <c r="K174" s="93">
        <v>63</v>
      </c>
      <c r="L174" s="93">
        <v>17</v>
      </c>
      <c r="M174" s="93">
        <v>9.9</v>
      </c>
      <c r="N174" s="93">
        <v>2.7</v>
      </c>
    </row>
    <row r="175" spans="1:14" s="90" customFormat="1" ht="10.5" hidden="1" x14ac:dyDescent="0.25">
      <c r="A175" s="98" t="s">
        <v>58</v>
      </c>
      <c r="B175" s="99">
        <v>0</v>
      </c>
      <c r="C175" s="92">
        <f t="shared" si="3"/>
        <v>0</v>
      </c>
      <c r="D175" s="93">
        <f t="shared" si="4"/>
        <v>0</v>
      </c>
      <c r="E175" s="93">
        <f t="shared" si="5"/>
        <v>0</v>
      </c>
      <c r="F175" s="93">
        <f t="shared" si="6"/>
        <v>0</v>
      </c>
      <c r="G175" s="93">
        <f t="shared" si="7"/>
        <v>0</v>
      </c>
      <c r="I175" s="91" t="s">
        <v>58</v>
      </c>
      <c r="J175" s="92">
        <v>713</v>
      </c>
      <c r="K175" s="93">
        <v>0.5</v>
      </c>
      <c r="L175" s="93">
        <v>0.4</v>
      </c>
      <c r="M175" s="93">
        <v>0</v>
      </c>
      <c r="N175" s="93">
        <v>79</v>
      </c>
    </row>
    <row r="176" spans="1:14" s="90" customFormat="1" ht="11" hidden="1" thickBot="1" x14ac:dyDescent="0.3">
      <c r="A176" s="100" t="s">
        <v>59</v>
      </c>
      <c r="B176" s="101">
        <v>0</v>
      </c>
      <c r="C176" s="92">
        <f t="shared" si="3"/>
        <v>0</v>
      </c>
      <c r="D176" s="93">
        <f t="shared" si="4"/>
        <v>0</v>
      </c>
      <c r="E176" s="93">
        <f t="shared" si="5"/>
        <v>0</v>
      </c>
      <c r="F176" s="93">
        <f t="shared" si="6"/>
        <v>0</v>
      </c>
      <c r="G176" s="93">
        <f t="shared" si="7"/>
        <v>0</v>
      </c>
      <c r="I176" s="91" t="s">
        <v>59</v>
      </c>
      <c r="J176" s="92">
        <v>32</v>
      </c>
      <c r="K176" s="93">
        <v>7.7</v>
      </c>
      <c r="L176" s="93">
        <v>2.7E-2</v>
      </c>
      <c r="M176" s="93">
        <v>0.31</v>
      </c>
      <c r="N176" s="93">
        <v>0.05</v>
      </c>
    </row>
    <row r="177" spans="1:10" s="90" customFormat="1" ht="10.5" hidden="1" x14ac:dyDescent="0.25">
      <c r="A177" s="91" t="s">
        <v>60</v>
      </c>
      <c r="B177" s="102">
        <f>SUM(B153:B176)</f>
        <v>865.99047637499996</v>
      </c>
      <c r="C177" s="92">
        <f>SUM(C153:C176)</f>
        <v>1722.45</v>
      </c>
      <c r="D177" s="92">
        <f t="shared" ref="D177:G177" si="13">SUM(D153:D176)</f>
        <v>339.88</v>
      </c>
      <c r="E177" s="92">
        <f t="shared" si="13"/>
        <v>53.787499999999994</v>
      </c>
      <c r="F177" s="92">
        <f t="shared" si="13"/>
        <v>31.442499999999999</v>
      </c>
      <c r="G177" s="92">
        <f t="shared" si="13"/>
        <v>6.3332500000000005</v>
      </c>
      <c r="I177" s="91"/>
      <c r="J177" s="103"/>
    </row>
    <row r="178" spans="1:10" s="90" customFormat="1" ht="10.5" hidden="1" x14ac:dyDescent="0.25">
      <c r="A178" s="91" t="s">
        <v>61</v>
      </c>
      <c r="B178" s="103">
        <v>0.13</v>
      </c>
    </row>
    <row r="179" spans="1:10" s="90" customFormat="1" ht="10.5" hidden="1" x14ac:dyDescent="0.25">
      <c r="A179" s="91" t="s">
        <v>62</v>
      </c>
      <c r="B179" s="102">
        <f>B177-B177*B178</f>
        <v>753.41171444625002</v>
      </c>
    </row>
    <row r="180" spans="1:10" s="91" customFormat="1" ht="10.5" hidden="1" x14ac:dyDescent="0.25">
      <c r="A180" s="91" t="s">
        <v>63</v>
      </c>
      <c r="B180" s="103">
        <v>0.03</v>
      </c>
    </row>
    <row r="182" spans="1:10" x14ac:dyDescent="0.25">
      <c r="A182" s="82"/>
    </row>
  </sheetData>
  <sheetProtection algorithmName="SHA-512" hashValue="zGh+rPRva+HTrzPu+k1/UeBjZ6pdHiBJRWE2BQO0wnVsxGzHF2gYc70K7pYRIE9Uom9JUsSacnaNjK8ynKOSSA==" saltValue="lM4D/dE4X/XJwadxFZS4DA==" spinCount="100000" sheet="1" objects="1" scenarios="1"/>
  <mergeCells count="12">
    <mergeCell ref="B143:D145"/>
    <mergeCell ref="D17:F19"/>
    <mergeCell ref="A1:F1"/>
    <mergeCell ref="D5:E5"/>
    <mergeCell ref="D6:E6"/>
    <mergeCell ref="A4:F4"/>
    <mergeCell ref="A9:B9"/>
    <mergeCell ref="D9:F9"/>
    <mergeCell ref="A16:B16"/>
    <mergeCell ref="A3:F3"/>
    <mergeCell ref="A37:F37"/>
    <mergeCell ref="A96:F96"/>
  </mergeCells>
  <conditionalFormatting sqref="A117">
    <cfRule type="expression" dxfId="18" priority="5">
      <formula>($F$11+$F$12+$F$14)=0</formula>
    </cfRule>
  </conditionalFormatting>
  <conditionalFormatting sqref="A61:D61 A62:F65 A102:F102">
    <cfRule type="expression" dxfId="17" priority="23">
      <formula>$F$13=0</formula>
    </cfRule>
  </conditionalFormatting>
  <conditionalFormatting sqref="A59:E59 A68:D68 A69:F72 A79">
    <cfRule type="expression" dxfId="16" priority="98">
      <formula>$B$17=0</formula>
    </cfRule>
  </conditionalFormatting>
  <conditionalFormatting sqref="A48:F51">
    <cfRule type="expression" dxfId="15" priority="26">
      <formula>$F$11=0</formula>
    </cfRule>
  </conditionalFormatting>
  <conditionalFormatting sqref="A54:F58">
    <cfRule type="expression" dxfId="14" priority="1">
      <formula>$F$12=0</formula>
    </cfRule>
  </conditionalFormatting>
  <conditionalFormatting sqref="A75:F79">
    <cfRule type="expression" dxfId="13" priority="28">
      <formula>$F$14=0</formula>
    </cfRule>
  </conditionalFormatting>
  <conditionalFormatting sqref="A82:F87 A95:E95">
    <cfRule type="expression" dxfId="12" priority="43">
      <formula>$F$10=0</formula>
    </cfRule>
  </conditionalFormatting>
  <conditionalFormatting sqref="A101:F101">
    <cfRule type="expression" dxfId="11" priority="27">
      <formula>$B$40=0</formula>
    </cfRule>
  </conditionalFormatting>
  <conditionalFormatting sqref="A103:F103">
    <cfRule type="expression" dxfId="10" priority="30">
      <formula>$B$17=0</formula>
    </cfRule>
  </conditionalFormatting>
  <conditionalFormatting sqref="A104:F104">
    <cfRule type="expression" dxfId="9" priority="21">
      <formula>$F$10=0</formula>
    </cfRule>
  </conditionalFormatting>
  <conditionalFormatting sqref="A105:F110">
    <cfRule type="expression" dxfId="8" priority="18">
      <formula>$B10=0</formula>
    </cfRule>
  </conditionalFormatting>
  <conditionalFormatting sqref="A111:F111">
    <cfRule type="expression" dxfId="7" priority="108">
      <formula>$F$15=0</formula>
    </cfRule>
  </conditionalFormatting>
  <conditionalFormatting sqref="A118:F118">
    <cfRule type="expression" dxfId="6" priority="9">
      <formula>$F$11=0</formula>
    </cfRule>
  </conditionalFormatting>
  <conditionalFormatting sqref="A119:F119">
    <cfRule type="expression" dxfId="5" priority="4">
      <formula>$F$12=0</formula>
    </cfRule>
  </conditionalFormatting>
  <conditionalFormatting sqref="A120:F120">
    <cfRule type="expression" dxfId="4" priority="3">
      <formula>$F$14=0</formula>
    </cfRule>
  </conditionalFormatting>
  <conditionalFormatting sqref="B55:B56">
    <cfRule type="expression" dxfId="3" priority="12">
      <formula>$F$11=0</formula>
    </cfRule>
  </conditionalFormatting>
  <conditionalFormatting sqref="B60:F60">
    <cfRule type="expression" dxfId="2" priority="109">
      <formula>$F$13=0</formula>
    </cfRule>
  </conditionalFormatting>
  <conditionalFormatting sqref="B67:F67">
    <cfRule type="expression" dxfId="1" priority="101">
      <formula>$B$17=0</formula>
    </cfRule>
  </conditionalFormatting>
  <conditionalFormatting sqref="B81:F81">
    <cfRule type="expression" dxfId="0" priority="44">
      <formula>$F$10=0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2026-01-18T09:47:53Z</cp:lastPrinted>
  <dcterms:created xsi:type="dcterms:W3CDTF">2025-04-29T22:05:03Z</dcterms:created>
  <dcterms:modified xsi:type="dcterms:W3CDTF">2026-02-10T22:25:38Z</dcterms:modified>
  <cp:category/>
  <cp:contentStatus/>
</cp:coreProperties>
</file>