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351" documentId="8_{83CBFFF9-2725-4049-A74D-48BD57F5DB19}" xr6:coauthVersionLast="47" xr6:coauthVersionMax="47" xr10:uidLastSave="{FD32BBA0-8773-4DD9-9ADF-E3605D6AB863}"/>
  <bookViews>
    <workbookView xWindow="-110" yWindow="-110" windowWidth="19420" windowHeight="10300" xr2:uid="{6AF04D03-3FFF-482B-ADA3-9E84988EE023}"/>
  </bookViews>
  <sheets>
    <sheet name="MeinBrot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" i="1" l="1"/>
  <c r="B150" i="1"/>
  <c r="B152" i="1"/>
  <c r="E56" i="1"/>
  <c r="E63" i="1" s="1"/>
  <c r="E70" i="1" s="1"/>
  <c r="E78" i="1" s="1"/>
  <c r="E85" i="1"/>
  <c r="A45" i="1"/>
  <c r="A51" i="1"/>
  <c r="A117" i="1" s="1"/>
  <c r="A58" i="1"/>
  <c r="A98" i="1" s="1"/>
  <c r="A65" i="1"/>
  <c r="A118" i="1" s="1"/>
  <c r="A72" i="1"/>
  <c r="A99" i="1" s="1"/>
  <c r="B91" i="1"/>
  <c r="D90" i="1"/>
  <c r="D89" i="1" s="1"/>
  <c r="D87" i="1" s="1"/>
  <c r="D41" i="1"/>
  <c r="D40" i="1" s="1"/>
  <c r="A100" i="1"/>
  <c r="D75" i="1"/>
  <c r="B75" i="1" s="1"/>
  <c r="A109" i="1"/>
  <c r="D102" i="1"/>
  <c r="B102" i="1" s="1"/>
  <c r="D103" i="1"/>
  <c r="B103" i="1" s="1"/>
  <c r="D104" i="1"/>
  <c r="B104" i="1" s="1"/>
  <c r="D105" i="1"/>
  <c r="B105" i="1" s="1"/>
  <c r="D106" i="1"/>
  <c r="B106" i="1" s="1"/>
  <c r="D107" i="1"/>
  <c r="B107" i="1" s="1"/>
  <c r="D108" i="1"/>
  <c r="B108" i="1" s="1"/>
  <c r="B110" i="1"/>
  <c r="C116" i="1"/>
  <c r="B119" i="1"/>
  <c r="D47" i="1"/>
  <c r="B47" i="1" s="1"/>
  <c r="D53" i="1"/>
  <c r="D54" i="1" s="1"/>
  <c r="B54" i="1" s="1"/>
  <c r="D61" i="1"/>
  <c r="D60" i="1" s="1"/>
  <c r="D68" i="1"/>
  <c r="D67" i="1" s="1"/>
  <c r="D74" i="1" l="1"/>
  <c r="D48" i="1"/>
  <c r="D100" i="1"/>
  <c r="B100" i="1" s="1"/>
  <c r="D51" i="1"/>
  <c r="D117" i="1" s="1"/>
  <c r="B90" i="1"/>
  <c r="D58" i="1"/>
  <c r="D98" i="1" s="1"/>
  <c r="B60" i="1"/>
  <c r="D65" i="1"/>
  <c r="D118" i="1" s="1"/>
  <c r="B67" i="1"/>
  <c r="B68" i="1"/>
  <c r="B89" i="1"/>
  <c r="B53" i="1"/>
  <c r="B51" i="1" s="1"/>
  <c r="B117" i="1" s="1"/>
  <c r="B61" i="1"/>
  <c r="B41" i="1"/>
  <c r="B42" i="1"/>
  <c r="A84" i="1"/>
  <c r="B159" i="1"/>
  <c r="D45" i="1" l="1"/>
  <c r="D116" i="1" s="1"/>
  <c r="B87" i="1"/>
  <c r="B48" i="1"/>
  <c r="B46" i="1" s="1"/>
  <c r="B98" i="1"/>
  <c r="D72" i="1"/>
  <c r="D99" i="1" s="1"/>
  <c r="B99" i="1" s="1"/>
  <c r="B74" i="1"/>
  <c r="B72" i="1" s="1"/>
  <c r="B65" i="1"/>
  <c r="B118" i="1" s="1"/>
  <c r="B58" i="1"/>
  <c r="B116" i="1" l="1"/>
  <c r="B167" i="1"/>
  <c r="B155" i="1"/>
  <c r="E155" i="1" s="1"/>
  <c r="B161" i="1" l="1"/>
  <c r="C155" i="1"/>
  <c r="F155" i="1"/>
  <c r="G155" i="1"/>
  <c r="D155" i="1"/>
  <c r="B158" i="1"/>
  <c r="B165" i="1" l="1"/>
  <c r="F152" i="1" l="1"/>
  <c r="B153" i="1"/>
  <c r="G153" i="1" s="1"/>
  <c r="G150" i="1"/>
  <c r="G159" i="1"/>
  <c r="B149" i="1"/>
  <c r="G149" i="1" s="1"/>
  <c r="G171" i="1"/>
  <c r="F171" i="1"/>
  <c r="E171" i="1"/>
  <c r="D171" i="1"/>
  <c r="C171" i="1"/>
  <c r="G170" i="1"/>
  <c r="F170" i="1"/>
  <c r="E170" i="1"/>
  <c r="D170" i="1"/>
  <c r="C170" i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3" i="1"/>
  <c r="F163" i="1"/>
  <c r="E163" i="1"/>
  <c r="D163" i="1"/>
  <c r="C163" i="1"/>
  <c r="G162" i="1"/>
  <c r="F162" i="1"/>
  <c r="E162" i="1"/>
  <c r="D162" i="1"/>
  <c r="C162" i="1"/>
  <c r="G160" i="1"/>
  <c r="F160" i="1"/>
  <c r="E160" i="1"/>
  <c r="D160" i="1"/>
  <c r="C160" i="1"/>
  <c r="C153" i="1" l="1"/>
  <c r="D153" i="1"/>
  <c r="C159" i="1"/>
  <c r="D159" i="1"/>
  <c r="C152" i="1"/>
  <c r="E153" i="1"/>
  <c r="F153" i="1"/>
  <c r="E152" i="1"/>
  <c r="G152" i="1"/>
  <c r="D152" i="1"/>
  <c r="E150" i="1"/>
  <c r="F150" i="1"/>
  <c r="E159" i="1"/>
  <c r="F159" i="1"/>
  <c r="C150" i="1"/>
  <c r="D150" i="1"/>
  <c r="C149" i="1"/>
  <c r="D149" i="1"/>
  <c r="E149" i="1"/>
  <c r="F149" i="1"/>
  <c r="B164" i="1" l="1"/>
  <c r="D164" i="1" s="1"/>
  <c r="D161" i="1"/>
  <c r="C161" i="1"/>
  <c r="G161" i="1"/>
  <c r="F161" i="1"/>
  <c r="E161" i="1"/>
  <c r="E164" i="1" l="1"/>
  <c r="C164" i="1"/>
  <c r="G164" i="1"/>
  <c r="F164" i="1"/>
  <c r="F136" i="1"/>
  <c r="F135" i="1" l="1"/>
  <c r="F133" i="1" s="1"/>
  <c r="F131" i="1" s="1"/>
  <c r="F127" i="1" s="1"/>
  <c r="F126" i="1" s="1"/>
  <c r="F123" i="1" s="1"/>
  <c r="F114" i="1" s="1"/>
  <c r="F112" i="1" s="1"/>
  <c r="F96" i="1" s="1"/>
  <c r="F92" i="1" l="1"/>
  <c r="F88" i="1" s="1"/>
  <c r="F85" i="1"/>
  <c r="F78" i="1"/>
  <c r="F49" i="1"/>
  <c r="F46" i="1" s="1"/>
  <c r="F56" i="1"/>
  <c r="F52" i="1" s="1"/>
  <c r="F63" i="1"/>
  <c r="F62" i="1" s="1"/>
  <c r="F70" i="1"/>
  <c r="F69" i="1" s="1"/>
  <c r="F130" i="1"/>
  <c r="F156" i="1"/>
  <c r="E156" i="1"/>
  <c r="C156" i="1"/>
  <c r="D156" i="1"/>
  <c r="G156" i="1"/>
  <c r="F158" i="1"/>
  <c r="E158" i="1"/>
  <c r="D158" i="1"/>
  <c r="C158" i="1"/>
  <c r="G158" i="1"/>
  <c r="F66" i="1" l="1"/>
  <c r="F73" i="1"/>
  <c r="F76" i="1" s="1"/>
  <c r="F81" i="1"/>
  <c r="F43" i="1" s="1"/>
  <c r="F39" i="1" l="1"/>
  <c r="B18" i="1"/>
  <c r="D113" i="1" s="1"/>
  <c r="B154" i="1"/>
  <c r="B151" i="1"/>
  <c r="C151" i="1" l="1"/>
  <c r="G151" i="1"/>
  <c r="E151" i="1"/>
  <c r="F151" i="1"/>
  <c r="D151" i="1"/>
  <c r="C154" i="1"/>
  <c r="D154" i="1"/>
  <c r="E154" i="1"/>
  <c r="F154" i="1"/>
  <c r="G154" i="1"/>
  <c r="A19" i="1"/>
  <c r="D38" i="1" l="1"/>
  <c r="D84" i="1" s="1"/>
  <c r="D82" i="1" s="1"/>
  <c r="D97" i="1" s="1"/>
  <c r="B40" i="1"/>
  <c r="D24" i="1" l="1"/>
  <c r="D83" i="1"/>
  <c r="D23" i="1" s="1"/>
  <c r="B38" i="1"/>
  <c r="B84" i="1" s="1"/>
  <c r="B83" i="1" l="1"/>
  <c r="B23" i="1" s="1"/>
  <c r="D80" i="1" l="1"/>
  <c r="D109" i="1" s="1"/>
  <c r="B82" i="1"/>
  <c r="B80" i="1" s="1"/>
  <c r="B109" i="1" s="1"/>
  <c r="B113" i="1"/>
  <c r="D95" i="1" l="1"/>
  <c r="B97" i="1"/>
  <c r="B24" i="1" s="1"/>
  <c r="B148" i="1" s="1"/>
  <c r="B157" i="1"/>
  <c r="B95" i="1" l="1"/>
  <c r="F7" i="1" s="1"/>
  <c r="G157" i="1"/>
  <c r="D157" i="1"/>
  <c r="E157" i="1"/>
  <c r="F157" i="1"/>
  <c r="C157" i="1"/>
  <c r="D148" i="1"/>
  <c r="B172" i="1"/>
  <c r="B174" i="1" s="1"/>
  <c r="B31" i="1" s="1"/>
  <c r="F148" i="1"/>
  <c r="G148" i="1"/>
  <c r="E148" i="1"/>
  <c r="C148" i="1"/>
  <c r="C172" i="1" l="1"/>
  <c r="B26" i="1" s="1"/>
  <c r="F172" i="1"/>
  <c r="B29" i="1" s="1"/>
  <c r="E172" i="1"/>
  <c r="B28" i="1" s="1"/>
  <c r="G172" i="1"/>
  <c r="B30" i="1" s="1"/>
  <c r="D172" i="1"/>
  <c r="B27" i="1" s="1"/>
</calcChain>
</file>

<file path=xl/sharedStrings.xml><?xml version="1.0" encoding="utf-8"?>
<sst xmlns="http://schemas.openxmlformats.org/spreadsheetml/2006/main" count="199" uniqueCount="115">
  <si>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</si>
  <si>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</si>
  <si>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</si>
  <si>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</si>
  <si>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</si>
  <si>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</si>
  <si>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</si>
  <si>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</si>
  <si>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</si>
  <si>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</si>
  <si>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</si>
  <si>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</si>
  <si>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</si>
  <si>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</si>
  <si>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</si>
  <si>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</si>
  <si>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</si>
  <si>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</si>
  <si>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</si>
  <si>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</si>
  <si>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</si>
  <si>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</si>
  <si>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</si>
  <si>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</si>
  <si>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</si>
  <si>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</si>
  <si>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</si>
  <si>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</si>
  <si>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</si>
  <si>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4. Stückgare</t>
  </si>
  <si>
    <t>Teigling einschneiden und nach Belieben mit Saaten bestreuen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</si>
  <si>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</si>
  <si>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</si>
  <si>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</si>
  <si>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</si>
  <si>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</si>
  <si>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</si>
  <si>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</si>
  <si>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</si>
  <si>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</si>
  <si>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</si>
  <si>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</si>
  <si>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</si>
  <si>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</si>
  <si>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</si>
  <si>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</si>
  <si>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</si>
  <si>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</si>
  <si>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</si>
  <si>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</si>
  <si>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</si>
  <si>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</si>
  <si>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</si>
  <si>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</si>
  <si>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</si>
  <si>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</si>
  <si>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</si>
  <si>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</si>
  <si>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</si>
  <si>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</si>
  <si>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Zutaten überbrühen und abkühlen lassen</t>
  </si>
  <si>
    <t>Pürieren bis keine Stückchen mehr zu sehen sind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</si>
  <si>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</si>
  <si>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</si>
  <si>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</si>
  <si>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</si>
  <si>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</si>
  <si>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</si>
  <si>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</si>
  <si>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</si>
  <si>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</si>
  <si>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</si>
  <si>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</si>
  <si>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</si>
  <si>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</si>
  <si>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</si>
  <si>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</si>
  <si>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</si>
  <si>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</si>
  <si>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</si>
  <si>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</si>
  <si>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</si>
  <si>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</si>
  <si>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</si>
  <si>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</si>
  <si>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</si>
  <si>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</si>
  <si>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</si>
  <si>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</si>
  <si>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</si>
  <si>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</si>
  <si>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Aktive Zubereitungszeit:</t>
  </si>
  <si>
    <t>1.a Sauerteig Stufe I</t>
  </si>
  <si>
    <t>Reife</t>
  </si>
  <si>
    <t>Bassinage, Wasser ca.</t>
  </si>
  <si>
    <t xml:space="preserve">&gt; Seite 3: Hauptteig </t>
  </si>
  <si>
    <t>Roggenmehl nach Wahl</t>
  </si>
  <si>
    <t>Teiglinge abstechen und formen</t>
  </si>
  <si>
    <t>Backstein aufheizen</t>
  </si>
  <si>
    <t xml:space="preserve">Teigling mit Wasser besprühen, in Backofen schieben und sofort schwaden </t>
  </si>
  <si>
    <t>Schwaden nach 10 Minuten ablassen</t>
  </si>
  <si>
    <t>Beispiel: Bei 800g-Teiglingen dauert die Backzeit ca. 45 Minuten</t>
  </si>
  <si>
    <t>Roggensauerteig-Anstellgut TA200</t>
  </si>
  <si>
    <t>Nüsse/SB-Kerne</t>
  </si>
  <si>
    <t>Folgende Zutaten intensiv mischen</t>
  </si>
  <si>
    <t>Stockgare im Kessel</t>
  </si>
  <si>
    <t>Weizenmehl 550 im Poolish</t>
  </si>
  <si>
    <t>20 Stunden</t>
  </si>
  <si>
    <t>Info: Mehlsorten in den Vorstufen</t>
  </si>
  <si>
    <t>1.g Sauerteig Stufe II</t>
  </si>
  <si>
    <t>1.h Poolish</t>
  </si>
  <si>
    <r>
      <rPr>
        <b/>
        <sz val="14"/>
        <rFont val="Tahoma"/>
        <family val="2"/>
      </rPr>
      <t>Mein Brot 7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Poolish und Sauerteig. Dieses Brot eignet sich für aromatische Dinkel- und Weizen(misch)brote mit einem Roggenanteil von mindestens 16% und maximal 30%.
</t>
    </r>
  </si>
  <si>
    <t>Stückgare im Gärkorb, Schluss oben</t>
  </si>
  <si>
    <t>Roggenmehl im Sauerteig</t>
  </si>
  <si>
    <t>Fortsetzung auf der nächsten Seite.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</si>
</sst>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4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9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6" fontId="14" fillId="0" borderId="1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4" fillId="0" borderId="0" xfId="0" applyFont="1" applyAlignment="1">
      <alignment horizontal="left" vertical="top" wrapText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7" fontId="5" fillId="0" borderId="1" xfId="0" applyNumberFormat="1" applyFont="1" applyBorder="1" applyProtection="1"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9" fontId="6" fillId="4" borderId="3" xfId="0" applyNumberFormat="1" applyFont="1" applyFill="1" applyBorder="1" applyProtection="1">
      <protection hidden="1"/>
    </xf>
    <xf numFmtId="169" fontId="6" fillId="4" borderId="3" xfId="0" applyNumberFormat="1" applyFont="1" applyFill="1" applyBorder="1" applyAlignment="1" applyProtection="1">
      <alignment horizontal="right"/>
      <protection hidden="1"/>
    </xf>
    <xf numFmtId="168" fontId="5" fillId="0" borderId="3" xfId="0" applyNumberFormat="1" applyFont="1" applyBorder="1" applyProtection="1">
      <protection hidden="1"/>
    </xf>
    <xf numFmtId="9" fontId="6" fillId="4" borderId="3" xfId="0" applyNumberFormat="1" applyFont="1" applyFill="1" applyBorder="1" applyAlignment="1" applyProtection="1">
      <alignment horizontal="right"/>
      <protection hidden="1"/>
    </xf>
    <xf numFmtId="165" fontId="6" fillId="4" borderId="3" xfId="0" applyNumberFormat="1" applyFont="1" applyFill="1" applyBorder="1" applyAlignment="1" applyProtection="1">
      <alignment horizontal="center"/>
      <protection hidden="1"/>
    </xf>
    <xf numFmtId="170" fontId="6" fillId="4" borderId="3" xfId="0" applyNumberFormat="1" applyFont="1" applyFill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9" fontId="5" fillId="4" borderId="0" xfId="0" applyNumberFormat="1" applyFont="1" applyFill="1" applyProtection="1">
      <protection hidden="1"/>
    </xf>
    <xf numFmtId="9" fontId="6" fillId="4" borderId="0" xfId="0" applyNumberFormat="1" applyFont="1" applyFill="1" applyAlignment="1" applyProtection="1">
      <alignment horizontal="right"/>
      <protection locked="0"/>
    </xf>
    <xf numFmtId="9" fontId="9" fillId="0" borderId="2" xfId="0" applyNumberFormat="1" applyFont="1" applyBorder="1" applyAlignment="1" applyProtection="1">
      <alignment horizontal="right"/>
      <protection hidden="1"/>
    </xf>
    <xf numFmtId="167" fontId="12" fillId="0" borderId="3" xfId="0" applyNumberFormat="1" applyFont="1" applyBorder="1" applyAlignment="1" applyProtection="1">
      <alignment horizontal="right"/>
      <protection hidden="1"/>
    </xf>
    <xf numFmtId="170" fontId="5" fillId="0" borderId="0" xfId="0" applyNumberFormat="1" applyFont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6">
    <dxf>
      <font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7"/>
  <sheetViews>
    <sheetView tabSelected="1" zoomScale="102" zoomScaleNormal="135" workbookViewId="0">
      <selection activeCell="F4" sqref="F4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46" customHeight="1" x14ac:dyDescent="0.25">
      <c r="A1" s="209" t="s">
        <v>111</v>
      </c>
      <c r="B1" s="209"/>
      <c r="C1" s="209"/>
      <c r="D1" s="209"/>
      <c r="E1" s="209"/>
      <c r="F1" s="209"/>
      <c r="K1" s="3"/>
    </row>
    <row r="2" spans="1:11" s="2" customFormat="1" ht="18" customHeight="1" thickBot="1" x14ac:dyDescent="0.3">
      <c r="A2" s="135"/>
      <c r="B2" s="135"/>
      <c r="C2" s="135"/>
      <c r="D2" s="135"/>
      <c r="E2" s="135"/>
      <c r="F2" s="135"/>
      <c r="K2" s="3"/>
    </row>
    <row r="3" spans="1:11" ht="13" thickBot="1" x14ac:dyDescent="0.3">
      <c r="A3" s="212" t="s">
        <v>86</v>
      </c>
      <c r="B3" s="213"/>
      <c r="C3" s="213"/>
      <c r="D3" s="213"/>
      <c r="E3" s="213"/>
      <c r="F3" s="214"/>
    </row>
    <row r="4" spans="1:11" ht="13" thickBot="1" x14ac:dyDescent="0.3">
      <c r="A4" s="4" t="s">
        <v>0</v>
      </c>
      <c r="B4" s="4"/>
      <c r="C4" s="4"/>
      <c r="D4" s="210" t="s">
        <v>72</v>
      </c>
      <c r="E4" s="210"/>
      <c r="F4" s="129">
        <v>46063</v>
      </c>
    </row>
    <row r="5" spans="1:11" ht="13" thickBot="1" x14ac:dyDescent="0.3">
      <c r="A5" s="5" t="s">
        <v>1</v>
      </c>
      <c r="B5" s="5"/>
      <c r="C5" s="5"/>
      <c r="D5" s="211" t="s">
        <v>2</v>
      </c>
      <c r="E5" s="211"/>
      <c r="F5" s="6">
        <v>0.45833333333333331</v>
      </c>
    </row>
    <row r="6" spans="1:11" ht="13" thickBot="1" x14ac:dyDescent="0.3">
      <c r="A6" s="5" t="s">
        <v>3</v>
      </c>
      <c r="B6" s="5"/>
      <c r="C6" s="5"/>
      <c r="D6" s="81"/>
      <c r="E6" s="81" t="s">
        <v>4</v>
      </c>
      <c r="F6" s="7">
        <v>500</v>
      </c>
    </row>
    <row r="7" spans="1:11" s="62" customFormat="1" ht="40" customHeight="1" thickBot="1" x14ac:dyDescent="0.4">
      <c r="A7" s="123"/>
      <c r="B7" s="1"/>
      <c r="C7" s="1"/>
      <c r="D7" s="1"/>
      <c r="E7" s="146" t="s">
        <v>5</v>
      </c>
      <c r="F7" s="147">
        <f>ROUNDDOWN(B95*86%,-1)</f>
        <v>740</v>
      </c>
    </row>
    <row r="8" spans="1:11" ht="13" customHeight="1" thickBot="1" x14ac:dyDescent="0.3">
      <c r="A8" s="212" t="s">
        <v>6</v>
      </c>
      <c r="B8" s="214"/>
      <c r="C8" s="8"/>
      <c r="D8" s="215" t="s">
        <v>76</v>
      </c>
      <c r="E8" s="216"/>
      <c r="F8" s="217"/>
    </row>
    <row r="9" spans="1:11" ht="13" customHeight="1" thickBot="1" x14ac:dyDescent="0.3">
      <c r="A9" s="4" t="s">
        <v>7</v>
      </c>
      <c r="B9" s="130">
        <v>0</v>
      </c>
      <c r="C9" s="8"/>
      <c r="D9" s="131" t="s">
        <v>8</v>
      </c>
      <c r="E9" s="132"/>
      <c r="F9" s="130">
        <v>0</v>
      </c>
    </row>
    <row r="10" spans="1:11" ht="13" customHeight="1" thickBot="1" x14ac:dyDescent="0.3">
      <c r="A10" s="5" t="s">
        <v>9</v>
      </c>
      <c r="B10" s="9">
        <v>0.44</v>
      </c>
      <c r="C10" s="8"/>
      <c r="D10" s="100" t="s">
        <v>103</v>
      </c>
      <c r="E10" s="101"/>
      <c r="F10" s="9">
        <v>0</v>
      </c>
    </row>
    <row r="11" spans="1:11" ht="13" customHeight="1" thickBot="1" x14ac:dyDescent="0.3">
      <c r="A11" s="5" t="s">
        <v>10</v>
      </c>
      <c r="B11" s="9">
        <v>0</v>
      </c>
      <c r="C11" s="8"/>
      <c r="D11" s="3" t="s">
        <v>80</v>
      </c>
      <c r="F11" s="9">
        <v>0</v>
      </c>
    </row>
    <row r="12" spans="1:11" ht="13" customHeight="1" thickBot="1" x14ac:dyDescent="0.3">
      <c r="A12" s="21" t="s">
        <v>11</v>
      </c>
      <c r="B12" s="64">
        <v>0.3</v>
      </c>
      <c r="C12" s="8"/>
      <c r="D12" s="100" t="s">
        <v>46</v>
      </c>
      <c r="E12" s="102"/>
      <c r="F12" s="9">
        <v>0</v>
      </c>
    </row>
    <row r="13" spans="1:11" ht="13" customHeight="1" thickBot="1" x14ac:dyDescent="0.3">
      <c r="A13" s="21" t="s">
        <v>12</v>
      </c>
      <c r="B13" s="64">
        <v>0</v>
      </c>
      <c r="C13" s="8"/>
      <c r="D13" s="100" t="s">
        <v>69</v>
      </c>
      <c r="E13" s="102"/>
      <c r="F13" s="9">
        <v>0</v>
      </c>
    </row>
    <row r="14" spans="1:11" ht="13" customHeight="1" thickBot="1" x14ac:dyDescent="0.3">
      <c r="A14" s="21" t="s">
        <v>13</v>
      </c>
      <c r="B14" s="64">
        <v>0</v>
      </c>
      <c r="C14" s="8"/>
      <c r="D14" s="136" t="s">
        <v>64</v>
      </c>
      <c r="E14" s="137"/>
      <c r="F14" s="9">
        <v>0</v>
      </c>
    </row>
    <row r="15" spans="1:11" ht="13" customHeight="1" thickBot="1" x14ac:dyDescent="0.3">
      <c r="A15" s="212" t="s">
        <v>108</v>
      </c>
      <c r="B15" s="214"/>
      <c r="C15" s="8"/>
    </row>
    <row r="16" spans="1:11" ht="13" customHeight="1" x14ac:dyDescent="0.25">
      <c r="A16" s="202" t="s">
        <v>106</v>
      </c>
      <c r="B16" s="203">
        <v>0.1</v>
      </c>
      <c r="C16" s="170"/>
      <c r="D16" s="207" t="s">
        <v>73</v>
      </c>
      <c r="E16" s="208"/>
      <c r="F16" s="208"/>
    </row>
    <row r="17" spans="1:7" ht="13" customHeight="1" x14ac:dyDescent="0.25">
      <c r="A17" s="184" t="s">
        <v>113</v>
      </c>
      <c r="B17" s="185">
        <v>0.16</v>
      </c>
      <c r="C17" s="170"/>
      <c r="D17" s="208"/>
      <c r="E17" s="208"/>
      <c r="F17" s="208"/>
    </row>
    <row r="18" spans="1:7" ht="13" customHeight="1" thickBot="1" x14ac:dyDescent="0.3">
      <c r="A18" s="174" t="s">
        <v>63</v>
      </c>
      <c r="B18" s="175">
        <f>SUM(B9:B17)</f>
        <v>1</v>
      </c>
      <c r="D18" s="208"/>
      <c r="E18" s="208"/>
      <c r="F18" s="208"/>
    </row>
    <row r="19" spans="1:7" s="10" customFormat="1" ht="25" customHeight="1" x14ac:dyDescent="0.35">
      <c r="A19" s="173" t="str">
        <f>IF($B$18=100%," ","Eingabe prüfen. Summe muss 100% sein.")</f>
        <v xml:space="preserve"> </v>
      </c>
      <c r="C19" s="171"/>
      <c r="F19" s="172"/>
    </row>
    <row r="20" spans="1:7" s="10" customFormat="1" ht="25" customHeight="1" x14ac:dyDescent="0.35">
      <c r="A20" s="169" t="s">
        <v>83</v>
      </c>
      <c r="B20" s="169"/>
      <c r="C20" s="169"/>
      <c r="F20" s="172"/>
    </row>
    <row r="21" spans="1:7" s="10" customFormat="1" ht="13" customHeight="1" x14ac:dyDescent="0.25">
      <c r="A21" s="11" t="s">
        <v>91</v>
      </c>
      <c r="B21" s="165" t="s">
        <v>75</v>
      </c>
      <c r="D21" s="166"/>
      <c r="E21" s="156"/>
      <c r="F21" s="157"/>
    </row>
    <row r="22" spans="1:7" s="10" customFormat="1" ht="13" customHeight="1" x14ac:dyDescent="0.25">
      <c r="A22" s="10" t="s">
        <v>87</v>
      </c>
      <c r="B22" s="3" t="s">
        <v>107</v>
      </c>
      <c r="D22" s="166"/>
      <c r="E22" s="156"/>
      <c r="F22" s="157"/>
    </row>
    <row r="23" spans="1:7" s="10" customFormat="1" ht="13" customHeight="1" x14ac:dyDescent="0.25">
      <c r="A23" s="10" t="s">
        <v>14</v>
      </c>
      <c r="B23" s="158">
        <f>B41+B90+B102+B103+B104+B105+B106+B107+B83+B42/2</f>
        <v>502.42500000000001</v>
      </c>
      <c r="C23" s="163" t="s">
        <v>15</v>
      </c>
      <c r="D23" s="166">
        <f>D41+D90+D83+D102+D103+D104+D105+D106+D107+D42/2</f>
        <v>1.00485</v>
      </c>
      <c r="E23" s="156"/>
      <c r="F23" s="157"/>
    </row>
    <row r="24" spans="1:7" s="10" customFormat="1" ht="13" customHeight="1" x14ac:dyDescent="0.25">
      <c r="A24" s="10" t="s">
        <v>68</v>
      </c>
      <c r="B24" s="158">
        <f>B40+B48+B54+B60+B89+B67+B74+B97+B82+B119</f>
        <v>351.5</v>
      </c>
      <c r="C24" s="163" t="s">
        <v>15</v>
      </c>
      <c r="D24" s="166">
        <f>D40+D48+D54+D60+D89+D67+D74+D97+D82+D119</f>
        <v>0.70300000000000018</v>
      </c>
      <c r="E24" s="158"/>
      <c r="F24" s="13"/>
      <c r="G24" s="39"/>
    </row>
    <row r="25" spans="1:7" s="10" customFormat="1" ht="50" customHeight="1" x14ac:dyDescent="0.35">
      <c r="A25" s="169" t="s">
        <v>82</v>
      </c>
      <c r="B25" s="4"/>
      <c r="C25"/>
      <c r="D25"/>
      <c r="E25"/>
      <c r="F25"/>
      <c r="G25" s="39"/>
    </row>
    <row r="26" spans="1:7" s="10" customFormat="1" ht="13" customHeight="1" x14ac:dyDescent="0.35">
      <c r="A26" s="3" t="s">
        <v>33</v>
      </c>
      <c r="B26" s="167">
        <f>C172/$B$174*100-C172/$B$174*100*3%</f>
        <v>223.36582160915279</v>
      </c>
      <c r="C26"/>
      <c r="G26" s="39"/>
    </row>
    <row r="27" spans="1:7" s="10" customFormat="1" ht="13" customHeight="1" x14ac:dyDescent="0.35">
      <c r="A27" s="3" t="s">
        <v>34</v>
      </c>
      <c r="B27" s="168">
        <f>D$172/$B$174*100-D$172/$B$174*100*B$175</f>
        <v>44.113651416839446</v>
      </c>
      <c r="C27"/>
      <c r="G27" s="39"/>
    </row>
    <row r="28" spans="1:7" s="10" customFormat="1" ht="13" customHeight="1" x14ac:dyDescent="0.35">
      <c r="A28" s="3" t="s">
        <v>35</v>
      </c>
      <c r="B28" s="168">
        <f>E$172/$B$174*100-E$172/$B$174*100*B$175</f>
        <v>7.0333227294840812</v>
      </c>
      <c r="C28"/>
      <c r="G28" s="39"/>
    </row>
    <row r="29" spans="1:7" s="10" customFormat="1" ht="13" customHeight="1" x14ac:dyDescent="0.35">
      <c r="A29" s="3" t="s">
        <v>36</v>
      </c>
      <c r="B29" s="168">
        <f>F$172/$B$174*100-F$172/$B$174*100*B$175</f>
        <v>3.8791171842570678</v>
      </c>
      <c r="C29"/>
      <c r="D29" s="69"/>
      <c r="E29" s="69"/>
      <c r="F29" s="69"/>
      <c r="G29" s="39"/>
    </row>
    <row r="30" spans="1:7" s="10" customFormat="1" ht="13" customHeight="1" x14ac:dyDescent="0.35">
      <c r="A30" s="3" t="s">
        <v>37</v>
      </c>
      <c r="B30" s="168">
        <f>G$172/$B$174*100-G$172/$B$174*100*B$175</f>
        <v>0.82337557288760943</v>
      </c>
      <c r="C30"/>
      <c r="D30" s="69"/>
      <c r="E30" s="69"/>
      <c r="F30" s="69"/>
      <c r="G30" s="39"/>
    </row>
    <row r="31" spans="1:7" s="10" customFormat="1" ht="13" customHeight="1" x14ac:dyDescent="0.35">
      <c r="A31" s="3" t="s">
        <v>27</v>
      </c>
      <c r="B31" s="168">
        <f>B113/B174*100-B113/B174*100*3%</f>
        <v>1.4653294093762541</v>
      </c>
      <c r="C31" s="68"/>
      <c r="D31" s="69"/>
      <c r="E31" s="69"/>
      <c r="F31" s="69"/>
      <c r="G31" s="39"/>
    </row>
    <row r="32" spans="1:7" s="10" customFormat="1" ht="50" customHeight="1" x14ac:dyDescent="0.35">
      <c r="A32" s="169" t="s">
        <v>85</v>
      </c>
      <c r="B32" s="99"/>
      <c r="C32" s="68"/>
      <c r="G32" s="39"/>
    </row>
    <row r="33" spans="1:7" s="10" customFormat="1" ht="13" customHeight="1" x14ac:dyDescent="0.35">
      <c r="A33" s="3" t="s">
        <v>84</v>
      </c>
      <c r="B33" s="99"/>
      <c r="C33" s="68"/>
      <c r="G33" s="39"/>
    </row>
    <row r="34" spans="1:7" s="10" customFormat="1" ht="13" customHeight="1" x14ac:dyDescent="0.35">
      <c r="A34" s="3" t="s">
        <v>95</v>
      </c>
      <c r="B34" s="99"/>
      <c r="C34" s="68"/>
      <c r="G34" s="39"/>
    </row>
    <row r="35" spans="1:7" s="10" customFormat="1" ht="39.5" customHeight="1" x14ac:dyDescent="0.25">
      <c r="A35" s="158"/>
      <c r="B35" s="158"/>
      <c r="C35" s="158"/>
      <c r="D35" s="158"/>
      <c r="E35" s="158"/>
      <c r="F35" s="158"/>
    </row>
    <row r="36" spans="1:7" s="16" customFormat="1" x14ac:dyDescent="0.35">
      <c r="B36" s="17" t="s">
        <v>16</v>
      </c>
      <c r="C36" s="18" t="s">
        <v>17</v>
      </c>
      <c r="D36" s="19" t="s">
        <v>18</v>
      </c>
      <c r="E36" s="20" t="s">
        <v>19</v>
      </c>
      <c r="F36" s="20" t="s">
        <v>20</v>
      </c>
    </row>
    <row r="37" spans="1:7" s="27" customFormat="1" ht="17.5" x14ac:dyDescent="0.35">
      <c r="A37" s="159" t="s">
        <v>66</v>
      </c>
      <c r="B37" s="22"/>
      <c r="C37" s="23"/>
      <c r="D37" s="24"/>
      <c r="E37" s="25"/>
      <c r="F37" s="26"/>
    </row>
    <row r="38" spans="1:7" s="27" customFormat="1" x14ac:dyDescent="0.25">
      <c r="A38" s="21" t="s">
        <v>92</v>
      </c>
      <c r="B38" s="121">
        <f>SUM(B39:B42)</f>
        <v>16.649999999999999</v>
      </c>
      <c r="C38" s="23"/>
      <c r="D38" s="122">
        <f>SUM(D39:D42)</f>
        <v>3.3300000000000003E-2</v>
      </c>
      <c r="E38" s="25"/>
      <c r="F38" s="26"/>
    </row>
    <row r="39" spans="1:7" s="27" customFormat="1" x14ac:dyDescent="0.25">
      <c r="A39" s="119" t="s">
        <v>104</v>
      </c>
      <c r="B39" s="114"/>
      <c r="C39" s="115"/>
      <c r="D39" s="116"/>
      <c r="E39" s="117">
        <v>3.472222222222222E-3</v>
      </c>
      <c r="F39" s="118">
        <f>F43-E39</f>
        <v>46062.604166666679</v>
      </c>
    </row>
    <row r="40" spans="1:7" s="27" customFormat="1" x14ac:dyDescent="0.25">
      <c r="A40" s="113" t="s">
        <v>21</v>
      </c>
      <c r="B40" s="187">
        <f>D40*$F$6</f>
        <v>6.65</v>
      </c>
      <c r="C40" s="162">
        <v>40</v>
      </c>
      <c r="D40" s="116">
        <f>D41*1.33</f>
        <v>1.3300000000000001E-2</v>
      </c>
      <c r="E40" s="176"/>
      <c r="F40" s="125"/>
    </row>
    <row r="41" spans="1:7" s="27" customFormat="1" x14ac:dyDescent="0.25">
      <c r="A41" s="113" t="s">
        <v>96</v>
      </c>
      <c r="B41" s="187">
        <f>D41*$F$6</f>
        <v>5</v>
      </c>
      <c r="C41" s="115"/>
      <c r="D41" s="116">
        <f>D42</f>
        <v>0.01</v>
      </c>
      <c r="E41" s="176"/>
      <c r="F41" s="125"/>
    </row>
    <row r="42" spans="1:7" s="27" customFormat="1" x14ac:dyDescent="0.25">
      <c r="A42" s="113" t="s">
        <v>102</v>
      </c>
      <c r="B42" s="187">
        <f>D42*$F$6</f>
        <v>5</v>
      </c>
      <c r="C42" s="177">
        <v>5</v>
      </c>
      <c r="D42" s="116">
        <v>0.01</v>
      </c>
      <c r="E42" s="176"/>
      <c r="F42" s="125"/>
    </row>
    <row r="43" spans="1:7" s="27" customFormat="1" x14ac:dyDescent="0.25">
      <c r="A43" s="178" t="s">
        <v>93</v>
      </c>
      <c r="B43" s="179"/>
      <c r="C43" s="177">
        <v>26</v>
      </c>
      <c r="D43" s="180"/>
      <c r="E43" s="181">
        <v>0.16666666666666666</v>
      </c>
      <c r="F43" s="182">
        <f>F81-E43</f>
        <v>46062.607638888898</v>
      </c>
    </row>
    <row r="44" spans="1:7" s="27" customFormat="1" x14ac:dyDescent="0.25">
      <c r="A44" s="195"/>
      <c r="B44" s="196"/>
      <c r="C44" s="197"/>
      <c r="D44" s="198"/>
      <c r="E44" s="199"/>
      <c r="F44" s="200"/>
    </row>
    <row r="45" spans="1:7" s="11" customFormat="1" x14ac:dyDescent="0.25">
      <c r="A45" s="21" t="str">
        <f>IF($F$10=0,"1.b entfällt","1.b Quellstück: Nüsse o. Sonnenblumenkerne")</f>
        <v>1.b entfällt</v>
      </c>
      <c r="B45" s="28"/>
      <c r="C45" s="29">
        <v>21</v>
      </c>
      <c r="D45" s="30">
        <f>SUM(D48:D48)</f>
        <v>0</v>
      </c>
      <c r="E45" s="31"/>
      <c r="F45" s="32"/>
    </row>
    <row r="46" spans="1:7" s="13" customFormat="1" x14ac:dyDescent="0.25">
      <c r="A46" s="70" t="s">
        <v>22</v>
      </c>
      <c r="B46" s="160">
        <f>SUM(B47:B48)</f>
        <v>0</v>
      </c>
      <c r="C46" s="72"/>
      <c r="D46" s="73"/>
      <c r="E46" s="48">
        <v>3.472222222222222E-3</v>
      </c>
      <c r="F46" s="49">
        <f>F49-E46</f>
        <v>46062.607638888898</v>
      </c>
    </row>
    <row r="47" spans="1:7" s="11" customFormat="1" x14ac:dyDescent="0.25">
      <c r="A47" s="33" t="s">
        <v>78</v>
      </c>
      <c r="B47" s="34">
        <f>D47*F$6</f>
        <v>0</v>
      </c>
      <c r="C47" s="35"/>
      <c r="D47" s="36">
        <f>F10</f>
        <v>0</v>
      </c>
      <c r="E47" s="40"/>
      <c r="F47" s="38"/>
    </row>
    <row r="48" spans="1:7" s="10" customFormat="1" x14ac:dyDescent="0.25">
      <c r="A48" s="55" t="s">
        <v>21</v>
      </c>
      <c r="B48" s="34">
        <f>D48*F$6</f>
        <v>0</v>
      </c>
      <c r="C48" s="35">
        <v>16</v>
      </c>
      <c r="D48" s="36">
        <f>D47*2</f>
        <v>0</v>
      </c>
      <c r="E48" s="37"/>
      <c r="F48" s="38"/>
    </row>
    <row r="49" spans="1:6" s="11" customFormat="1" x14ac:dyDescent="0.25">
      <c r="A49" s="33" t="s">
        <v>74</v>
      </c>
      <c r="B49" s="34"/>
      <c r="C49" s="35">
        <v>21</v>
      </c>
      <c r="D49" s="36"/>
      <c r="E49" s="37">
        <v>0.66666666666666663</v>
      </c>
      <c r="F49" s="38">
        <f>F$96-E49</f>
        <v>46062.611111111117</v>
      </c>
    </row>
    <row r="50" spans="1:6" s="10" customFormat="1" x14ac:dyDescent="0.25">
      <c r="A50" s="107"/>
      <c r="B50" s="108"/>
      <c r="C50" s="109"/>
      <c r="D50" s="110"/>
      <c r="E50" s="111"/>
      <c r="F50" s="112"/>
    </row>
    <row r="51" spans="1:6" s="10" customFormat="1" x14ac:dyDescent="0.25">
      <c r="A51" s="21" t="str">
        <f>IF($F$11=0,"1.c entfällt","1.c Quellstück: Leinsaat o. Sesam")</f>
        <v>1.c entfällt</v>
      </c>
      <c r="B51" s="121">
        <f>SUM(B52:B54)</f>
        <v>0</v>
      </c>
      <c r="C51" s="148"/>
      <c r="D51" s="122">
        <f>SUM(D52:D54)</f>
        <v>0</v>
      </c>
      <c r="E51" s="149"/>
      <c r="F51" s="150"/>
    </row>
    <row r="52" spans="1:6" s="11" customFormat="1" x14ac:dyDescent="0.25">
      <c r="A52" s="151" t="s">
        <v>22</v>
      </c>
      <c r="B52" s="152"/>
      <c r="C52" s="153"/>
      <c r="D52" s="154"/>
      <c r="E52" s="155">
        <v>3.472222222222222E-3</v>
      </c>
      <c r="F52" s="118">
        <f>F56-E52</f>
        <v>46062.611111111117</v>
      </c>
    </row>
    <row r="53" spans="1:6" s="10" customFormat="1" x14ac:dyDescent="0.25">
      <c r="A53" s="107" t="s">
        <v>43</v>
      </c>
      <c r="B53" s="34">
        <f>D53*F$6</f>
        <v>0</v>
      </c>
      <c r="C53" s="109"/>
      <c r="D53" s="110">
        <f>F11</f>
        <v>0</v>
      </c>
      <c r="E53" s="111"/>
      <c r="F53" s="183"/>
    </row>
    <row r="54" spans="1:6" s="10" customFormat="1" x14ac:dyDescent="0.25">
      <c r="A54" s="107" t="s">
        <v>21</v>
      </c>
      <c r="B54" s="34">
        <f>D54*F$6</f>
        <v>0</v>
      </c>
      <c r="C54" s="109">
        <v>16</v>
      </c>
      <c r="D54" s="110">
        <f>D53*2</f>
        <v>0</v>
      </c>
      <c r="E54" s="111"/>
      <c r="F54" s="183"/>
    </row>
    <row r="55" spans="1:6" s="10" customFormat="1" x14ac:dyDescent="0.25">
      <c r="A55" s="107" t="s">
        <v>81</v>
      </c>
      <c r="B55" s="108"/>
      <c r="C55" s="109"/>
      <c r="D55" s="110"/>
      <c r="E55" s="111"/>
      <c r="F55" s="183"/>
    </row>
    <row r="56" spans="1:6" s="10" customFormat="1" x14ac:dyDescent="0.25">
      <c r="A56" s="107" t="s">
        <v>74</v>
      </c>
      <c r="B56" s="108"/>
      <c r="C56" s="109">
        <v>21</v>
      </c>
      <c r="D56" s="110"/>
      <c r="E56" s="111">
        <f>E49-E52</f>
        <v>0.66319444444444442</v>
      </c>
      <c r="F56" s="182">
        <f>F96-E56</f>
        <v>46062.614583333336</v>
      </c>
    </row>
    <row r="57" spans="1:6" s="10" customFormat="1" x14ac:dyDescent="0.25">
      <c r="A57" s="80"/>
      <c r="B57" s="138"/>
      <c r="C57" s="139"/>
      <c r="D57" s="140"/>
      <c r="E57" s="141"/>
      <c r="F57" s="183"/>
    </row>
    <row r="58" spans="1:6" s="10" customFormat="1" x14ac:dyDescent="0.25">
      <c r="A58" s="21" t="str">
        <f>IF($F$12=0,"1.d entfällt","1.d Kochstück: Haferflocken")</f>
        <v>1.d entfällt</v>
      </c>
      <c r="B58" s="28">
        <f>SUM(B60:B61)</f>
        <v>0</v>
      </c>
      <c r="C58" s="29">
        <v>21</v>
      </c>
      <c r="D58" s="30">
        <f>SUM(D60:D61)</f>
        <v>0</v>
      </c>
      <c r="E58" s="31"/>
      <c r="F58" s="32"/>
    </row>
    <row r="59" spans="1:6" s="11" customFormat="1" x14ac:dyDescent="0.25">
      <c r="A59" s="70" t="s">
        <v>59</v>
      </c>
      <c r="B59" s="71"/>
      <c r="C59" s="72"/>
      <c r="D59" s="73"/>
    </row>
    <row r="60" spans="1:6" s="10" customFormat="1" x14ac:dyDescent="0.25">
      <c r="A60" s="33" t="s">
        <v>21</v>
      </c>
      <c r="B60" s="34">
        <f>D60*F$6</f>
        <v>0</v>
      </c>
      <c r="C60" s="35">
        <v>95</v>
      </c>
      <c r="D60" s="36">
        <f>D61*3</f>
        <v>0</v>
      </c>
      <c r="E60" s="37"/>
      <c r="F60" s="38"/>
    </row>
    <row r="61" spans="1:6" s="10" customFormat="1" x14ac:dyDescent="0.25">
      <c r="A61" s="33" t="s">
        <v>46</v>
      </c>
      <c r="B61" s="34">
        <f>D61*F$6</f>
        <v>0</v>
      </c>
      <c r="C61" s="35"/>
      <c r="D61" s="36">
        <f>F12</f>
        <v>0</v>
      </c>
      <c r="E61" s="40"/>
      <c r="F61" s="38"/>
    </row>
    <row r="62" spans="1:6" s="10" customFormat="1" x14ac:dyDescent="0.25">
      <c r="A62" s="70" t="s">
        <v>88</v>
      </c>
      <c r="B62" s="34"/>
      <c r="C62" s="35"/>
      <c r="D62" s="36"/>
      <c r="E62" s="48">
        <v>6.9444444444444441E-3</v>
      </c>
      <c r="F62" s="49">
        <f>F63-E62</f>
        <v>46062.614583333336</v>
      </c>
    </row>
    <row r="63" spans="1:6" s="10" customFormat="1" x14ac:dyDescent="0.25">
      <c r="A63" s="33" t="s">
        <v>74</v>
      </c>
      <c r="B63" s="34"/>
      <c r="C63" s="35">
        <v>21</v>
      </c>
      <c r="D63" s="36"/>
      <c r="E63" s="37">
        <f>E56-E62</f>
        <v>0.65625</v>
      </c>
      <c r="F63" s="38">
        <f>F$96-E63</f>
        <v>46062.621527777781</v>
      </c>
    </row>
    <row r="64" spans="1:6" s="10" customFormat="1" x14ac:dyDescent="0.25">
      <c r="A64" s="107"/>
      <c r="B64" s="108"/>
      <c r="C64" s="109"/>
      <c r="D64" s="110"/>
      <c r="E64" s="111"/>
      <c r="F64" s="112"/>
    </row>
    <row r="65" spans="1:6" s="10" customFormat="1" x14ac:dyDescent="0.25">
      <c r="A65" s="105" t="str">
        <f>IF(F13=0,"1.e entfällt","1.e Kochstück: Körner")</f>
        <v>1.e entfällt</v>
      </c>
      <c r="B65" s="28">
        <f>SUM(B66:B68)</f>
        <v>0</v>
      </c>
      <c r="C65" s="126"/>
      <c r="D65" s="30">
        <f>SUM(D66:D68)</f>
        <v>0</v>
      </c>
      <c r="E65" s="127"/>
      <c r="F65" s="128"/>
    </row>
    <row r="66" spans="1:6" s="11" customFormat="1" x14ac:dyDescent="0.25">
      <c r="A66" s="74" t="s">
        <v>59</v>
      </c>
      <c r="B66" s="34"/>
      <c r="C66" s="42"/>
      <c r="D66" s="36"/>
      <c r="E66" s="48">
        <v>6.9444444444444441E-3</v>
      </c>
      <c r="F66" s="49">
        <f>F69-E66</f>
        <v>46062.621527777781</v>
      </c>
    </row>
    <row r="67" spans="1:6" s="10" customFormat="1" x14ac:dyDescent="0.25">
      <c r="A67" s="12" t="s">
        <v>21</v>
      </c>
      <c r="B67" s="34">
        <f>$F$6*D67</f>
        <v>0</v>
      </c>
      <c r="C67" s="42">
        <v>95</v>
      </c>
      <c r="D67" s="36">
        <f>D68*3</f>
        <v>0</v>
      </c>
      <c r="E67" s="37"/>
      <c r="F67" s="106"/>
    </row>
    <row r="68" spans="1:6" s="10" customFormat="1" x14ac:dyDescent="0.25">
      <c r="A68" s="12" t="s">
        <v>70</v>
      </c>
      <c r="B68" s="34">
        <f>$F$6*D68</f>
        <v>0</v>
      </c>
      <c r="C68" s="42"/>
      <c r="D68" s="36">
        <f>F13</f>
        <v>0</v>
      </c>
      <c r="E68" s="37"/>
      <c r="F68" s="106"/>
    </row>
    <row r="69" spans="1:6" s="10" customFormat="1" x14ac:dyDescent="0.25">
      <c r="A69" s="74" t="s">
        <v>71</v>
      </c>
      <c r="B69" s="34"/>
      <c r="C69" s="42"/>
      <c r="D69" s="36"/>
      <c r="E69" s="37">
        <v>4.1666666666666664E-2</v>
      </c>
      <c r="F69" s="38">
        <f>F70-E69</f>
        <v>46062.628472222226</v>
      </c>
    </row>
    <row r="70" spans="1:6" s="10" customFormat="1" x14ac:dyDescent="0.25">
      <c r="A70" s="33" t="s">
        <v>74</v>
      </c>
      <c r="B70" s="34"/>
      <c r="C70" s="42"/>
      <c r="D70" s="36"/>
      <c r="E70" s="37">
        <f>E63-E66-E69</f>
        <v>0.60763888888888895</v>
      </c>
      <c r="F70" s="38">
        <f>F96-E70</f>
        <v>46062.670138888891</v>
      </c>
    </row>
    <row r="71" spans="1:6" s="10" customFormat="1" x14ac:dyDescent="0.25">
      <c r="A71" s="112"/>
      <c r="B71" s="108"/>
      <c r="C71" s="133"/>
      <c r="D71" s="110"/>
      <c r="E71" s="111"/>
      <c r="F71" s="134"/>
    </row>
    <row r="72" spans="1:6" s="10" customFormat="1" x14ac:dyDescent="0.25">
      <c r="A72" s="21" t="str">
        <f>IF($F$9=0,"1.f entfällt","1.f Brühstück: Röstbrot")</f>
        <v>1.f entfällt</v>
      </c>
      <c r="B72" s="28">
        <f>SUM(B74:B78)</f>
        <v>0</v>
      </c>
      <c r="C72" s="29"/>
      <c r="D72" s="30">
        <f>SUM(D74:D78)</f>
        <v>0</v>
      </c>
      <c r="E72" s="31"/>
      <c r="F72" s="32"/>
    </row>
    <row r="73" spans="1:6" s="10" customFormat="1" x14ac:dyDescent="0.25">
      <c r="A73" s="70" t="s">
        <v>59</v>
      </c>
      <c r="B73" s="71"/>
      <c r="C73" s="72"/>
      <c r="D73" s="73"/>
      <c r="E73" s="48">
        <v>6.9444444444444441E-3</v>
      </c>
      <c r="F73" s="49">
        <f>F69</f>
        <v>46062.628472222226</v>
      </c>
    </row>
    <row r="74" spans="1:6" s="10" customFormat="1" x14ac:dyDescent="0.25">
      <c r="A74" s="33" t="s">
        <v>21</v>
      </c>
      <c r="B74" s="34">
        <f>D74*F$6</f>
        <v>0</v>
      </c>
      <c r="C74" s="35">
        <v>100</v>
      </c>
      <c r="D74" s="36">
        <f>D75*3.3</f>
        <v>0</v>
      </c>
      <c r="E74" s="37"/>
      <c r="F74" s="38"/>
    </row>
    <row r="75" spans="1:6" s="10" customFormat="1" x14ac:dyDescent="0.25">
      <c r="A75" s="33" t="s">
        <v>79</v>
      </c>
      <c r="B75" s="34">
        <f>D75*F$6</f>
        <v>0</v>
      </c>
      <c r="C75" s="35"/>
      <c r="D75" s="36">
        <f>F9</f>
        <v>0</v>
      </c>
      <c r="E75" s="37"/>
      <c r="F75" s="38"/>
    </row>
    <row r="76" spans="1:6" s="10" customFormat="1" x14ac:dyDescent="0.25">
      <c r="A76" s="70" t="s">
        <v>60</v>
      </c>
      <c r="B76" s="71"/>
      <c r="C76" s="72"/>
      <c r="D76" s="73"/>
      <c r="E76" s="37">
        <v>4.1666666666666664E-2</v>
      </c>
      <c r="F76" s="38">
        <f>F73+E76</f>
        <v>46062.670138888891</v>
      </c>
    </row>
    <row r="77" spans="1:6" s="10" customFormat="1" x14ac:dyDescent="0.25">
      <c r="A77" s="70" t="s">
        <v>61</v>
      </c>
      <c r="B77" s="71"/>
      <c r="C77" s="72"/>
      <c r="D77" s="73"/>
      <c r="E77" s="48"/>
      <c r="F77" s="49"/>
    </row>
    <row r="78" spans="1:6" s="10" customFormat="1" x14ac:dyDescent="0.25">
      <c r="A78" s="43" t="s">
        <v>74</v>
      </c>
      <c r="B78" s="34"/>
      <c r="C78" s="35">
        <v>21</v>
      </c>
      <c r="D78" s="36"/>
      <c r="E78" s="37">
        <f>E70-E76</f>
        <v>0.56597222222222232</v>
      </c>
      <c r="F78" s="38">
        <f>F$96-E78</f>
        <v>46062.711805555562</v>
      </c>
    </row>
    <row r="80" spans="1:6" x14ac:dyDescent="0.25">
      <c r="A80" s="105" t="s">
        <v>109</v>
      </c>
      <c r="B80" s="188">
        <f>SUM(B82:B85)</f>
        <v>149.85000000000002</v>
      </c>
      <c r="C80" s="189"/>
      <c r="D80" s="190">
        <f>SUM(D82:D84)</f>
        <v>0.29970000000000002</v>
      </c>
      <c r="E80" s="105"/>
      <c r="F80" s="105"/>
    </row>
    <row r="81" spans="1:6" s="165" customFormat="1" x14ac:dyDescent="0.25">
      <c r="A81" s="74" t="s">
        <v>104</v>
      </c>
      <c r="B81" s="74"/>
      <c r="C81" s="177"/>
      <c r="D81" s="191"/>
      <c r="E81" s="48">
        <v>3.472222222222222E-3</v>
      </c>
      <c r="F81" s="192">
        <f>F85-E81</f>
        <v>46062.774305555562</v>
      </c>
    </row>
    <row r="82" spans="1:6" x14ac:dyDescent="0.25">
      <c r="A82" s="12" t="s">
        <v>21</v>
      </c>
      <c r="B82" s="124">
        <f>D82*$F$6</f>
        <v>58.275000000000006</v>
      </c>
      <c r="C82" s="177">
        <v>24</v>
      </c>
      <c r="D82" s="50">
        <f>D84*3.5</f>
        <v>0.11655000000000001</v>
      </c>
      <c r="E82" s="193"/>
      <c r="F82" s="194"/>
    </row>
    <row r="83" spans="1:6" x14ac:dyDescent="0.25">
      <c r="A83" s="12" t="s">
        <v>96</v>
      </c>
      <c r="B83" s="124">
        <f>D83*$F$6</f>
        <v>74.925000000000011</v>
      </c>
      <c r="C83" s="177"/>
      <c r="D83" s="50">
        <f>D84*4.5</f>
        <v>0.14985000000000001</v>
      </c>
      <c r="E83" s="193"/>
      <c r="F83" s="194"/>
    </row>
    <row r="84" spans="1:6" x14ac:dyDescent="0.25">
      <c r="A84" s="55" t="str">
        <f>A38</f>
        <v>1.a Sauerteig Stufe I</v>
      </c>
      <c r="B84" s="124">
        <f>B38</f>
        <v>16.649999999999999</v>
      </c>
      <c r="C84" s="177"/>
      <c r="D84" s="50">
        <f>D38</f>
        <v>3.3300000000000003E-2</v>
      </c>
      <c r="E84" s="193"/>
      <c r="F84" s="194"/>
    </row>
    <row r="85" spans="1:6" x14ac:dyDescent="0.25">
      <c r="A85" s="12" t="s">
        <v>93</v>
      </c>
      <c r="B85" s="12"/>
      <c r="C85" s="177">
        <v>21</v>
      </c>
      <c r="D85" s="191"/>
      <c r="E85" s="193">
        <f>E92+E88</f>
        <v>0.5</v>
      </c>
      <c r="F85" s="38">
        <f>F96-E85</f>
        <v>46062.777777777781</v>
      </c>
    </row>
    <row r="87" spans="1:6" s="10" customFormat="1" x14ac:dyDescent="0.25">
      <c r="A87" s="21" t="s">
        <v>110</v>
      </c>
      <c r="B87" s="28">
        <f>SUM(B89:B91)</f>
        <v>100.75</v>
      </c>
      <c r="C87" s="29"/>
      <c r="D87" s="30">
        <f>SUM(D89:D91)</f>
        <v>0.20150000000000001</v>
      </c>
      <c r="E87" s="31"/>
      <c r="F87" s="32"/>
    </row>
    <row r="88" spans="1:6" s="11" customFormat="1" x14ac:dyDescent="0.25">
      <c r="A88" s="70" t="s">
        <v>104</v>
      </c>
      <c r="B88" s="71"/>
      <c r="C88" s="72"/>
      <c r="D88" s="73"/>
      <c r="E88" s="48">
        <v>6.9444444444444441E-3</v>
      </c>
      <c r="F88" s="49">
        <f>F92-E88</f>
        <v>46062.777777777781</v>
      </c>
    </row>
    <row r="89" spans="1:6" s="10" customFormat="1" x14ac:dyDescent="0.25">
      <c r="A89" s="33" t="s">
        <v>21</v>
      </c>
      <c r="B89" s="34">
        <f>D89*F$6</f>
        <v>50</v>
      </c>
      <c r="C89" s="35">
        <v>35</v>
      </c>
      <c r="D89" s="36">
        <f>D90</f>
        <v>0.1</v>
      </c>
      <c r="E89" s="37"/>
      <c r="F89" s="38"/>
    </row>
    <row r="90" spans="1:6" s="10" customFormat="1" x14ac:dyDescent="0.25">
      <c r="A90" s="98" t="s">
        <v>9</v>
      </c>
      <c r="B90" s="14">
        <f>D90*F$6</f>
        <v>50</v>
      </c>
      <c r="C90" s="97"/>
      <c r="D90" s="15">
        <f>B16</f>
        <v>0.1</v>
      </c>
      <c r="E90" s="40"/>
      <c r="F90" s="38"/>
    </row>
    <row r="91" spans="1:6" s="10" customFormat="1" x14ac:dyDescent="0.25">
      <c r="A91" s="98" t="s">
        <v>40</v>
      </c>
      <c r="B91" s="14">
        <f>D91*F$6</f>
        <v>0.75</v>
      </c>
      <c r="C91" s="97">
        <v>5</v>
      </c>
      <c r="D91" s="204">
        <v>1.5E-3</v>
      </c>
      <c r="E91" s="40"/>
      <c r="F91" s="38"/>
    </row>
    <row r="92" spans="1:6" s="10" customFormat="1" x14ac:dyDescent="0.25">
      <c r="A92" s="33" t="s">
        <v>93</v>
      </c>
      <c r="B92" s="34"/>
      <c r="C92" s="35">
        <v>21</v>
      </c>
      <c r="D92" s="36"/>
      <c r="E92" s="37">
        <v>0.49305555555555558</v>
      </c>
      <c r="F92" s="38">
        <f>F96-E92</f>
        <v>46062.784722222226</v>
      </c>
    </row>
    <row r="93" spans="1:6" s="10" customFormat="1" x14ac:dyDescent="0.25">
      <c r="A93" s="80"/>
      <c r="B93" s="138"/>
      <c r="C93" s="139"/>
      <c r="D93" s="140"/>
      <c r="E93" s="141"/>
      <c r="F93" s="206" t="s">
        <v>114</v>
      </c>
    </row>
    <row r="94" spans="1:6" s="16" customFormat="1" x14ac:dyDescent="0.35">
      <c r="B94" s="17" t="s">
        <v>16</v>
      </c>
      <c r="C94" s="18" t="s">
        <v>17</v>
      </c>
      <c r="D94" s="19" t="s">
        <v>18</v>
      </c>
      <c r="E94" s="20" t="s">
        <v>19</v>
      </c>
      <c r="F94" s="20" t="s">
        <v>20</v>
      </c>
    </row>
    <row r="95" spans="1:6" s="27" customFormat="1" ht="17.5" x14ac:dyDescent="0.35">
      <c r="A95" s="159" t="s">
        <v>23</v>
      </c>
      <c r="B95" s="103">
        <f>SUM(B96:B120)</f>
        <v>871.16500000000008</v>
      </c>
      <c r="C95" s="104"/>
      <c r="D95" s="30">
        <f>SUM(D96:D120)</f>
        <v>1.7423300000000002</v>
      </c>
      <c r="E95" s="31"/>
      <c r="F95" s="32"/>
    </row>
    <row r="96" spans="1:6" s="11" customFormat="1" x14ac:dyDescent="0.25">
      <c r="A96" s="70" t="s">
        <v>59</v>
      </c>
      <c r="B96" s="71"/>
      <c r="C96" s="72"/>
      <c r="D96" s="73"/>
      <c r="E96" s="48">
        <v>6.9444444444444441E-3</v>
      </c>
      <c r="F96" s="49">
        <f>F112-E96</f>
        <v>46063.277777777781</v>
      </c>
    </row>
    <row r="97" spans="1:8" s="10" customFormat="1" x14ac:dyDescent="0.25">
      <c r="A97" s="41" t="s">
        <v>21</v>
      </c>
      <c r="B97" s="34">
        <f>D97*$F$6</f>
        <v>221.57500000000002</v>
      </c>
      <c r="C97" s="35">
        <v>24</v>
      </c>
      <c r="D97" s="36">
        <f>B9*0.6+(B10+B16)*0.65+(B11+B12+B17)*0.7+B13*0.75+B14*0.8+F14*10-D40-D82-D89-(D60+D74)*0.6-(D48+D54+D67)*0.1</f>
        <v>0.44315000000000004</v>
      </c>
      <c r="E97" s="37"/>
      <c r="F97" s="38"/>
    </row>
    <row r="98" spans="1:8" s="10" customFormat="1" x14ac:dyDescent="0.25">
      <c r="A98" s="33" t="str">
        <f>A58</f>
        <v>1.d entfällt</v>
      </c>
      <c r="B98" s="34">
        <f>B61+B60*75%</f>
        <v>0</v>
      </c>
      <c r="C98" s="35">
        <v>21</v>
      </c>
      <c r="D98" s="36">
        <f>D58</f>
        <v>0</v>
      </c>
      <c r="E98" s="37"/>
      <c r="F98" s="38"/>
    </row>
    <row r="99" spans="1:8" s="10" customFormat="1" x14ac:dyDescent="0.25">
      <c r="A99" s="41" t="str">
        <f>A72</f>
        <v>1.f entfällt</v>
      </c>
      <c r="B99" s="34">
        <f>D99*F$6</f>
        <v>0</v>
      </c>
      <c r="C99" s="35">
        <v>21</v>
      </c>
      <c r="D99" s="36">
        <f>D72</f>
        <v>0</v>
      </c>
      <c r="E99" s="37"/>
      <c r="F99" s="38"/>
    </row>
    <row r="100" spans="1:8" s="10" customFormat="1" x14ac:dyDescent="0.25">
      <c r="A100" s="41" t="str">
        <f>A87</f>
        <v>1.h Poolish</v>
      </c>
      <c r="B100" s="108">
        <f>D100*F$6</f>
        <v>100.75</v>
      </c>
      <c r="C100" s="109">
        <v>21</v>
      </c>
      <c r="D100" s="110">
        <f>D87</f>
        <v>0.20150000000000001</v>
      </c>
      <c r="E100" s="111"/>
      <c r="F100" s="120"/>
      <c r="H100" s="44"/>
    </row>
    <row r="101" spans="1:8" s="10" customFormat="1" x14ac:dyDescent="0.25">
      <c r="A101" s="41" t="s">
        <v>40</v>
      </c>
      <c r="B101" s="108">
        <f>D101*F6</f>
        <v>2.5</v>
      </c>
      <c r="C101" s="109">
        <v>5</v>
      </c>
      <c r="D101" s="205">
        <v>5.0000000000000001E-3</v>
      </c>
      <c r="E101" s="111"/>
      <c r="F101" s="120"/>
      <c r="H101" s="44"/>
    </row>
    <row r="102" spans="1:8" s="10" customFormat="1" x14ac:dyDescent="0.25">
      <c r="A102" s="33" t="s">
        <v>7</v>
      </c>
      <c r="B102" s="34">
        <f t="shared" ref="B102:B119" si="0">D102*F$6</f>
        <v>0</v>
      </c>
      <c r="C102" s="35"/>
      <c r="D102" s="36">
        <f t="shared" ref="D102:D107" si="1">B9</f>
        <v>0</v>
      </c>
      <c r="E102" s="37"/>
      <c r="F102" s="38"/>
    </row>
    <row r="103" spans="1:8" s="10" customFormat="1" x14ac:dyDescent="0.25">
      <c r="A103" s="33" t="s">
        <v>9</v>
      </c>
      <c r="B103" s="34">
        <f t="shared" si="0"/>
        <v>220</v>
      </c>
      <c r="C103" s="35"/>
      <c r="D103" s="36">
        <f t="shared" si="1"/>
        <v>0.44</v>
      </c>
      <c r="E103" s="37"/>
      <c r="F103" s="38"/>
    </row>
    <row r="104" spans="1:8" s="10" customFormat="1" x14ac:dyDescent="0.25">
      <c r="A104" s="33" t="s">
        <v>10</v>
      </c>
      <c r="B104" s="34">
        <f t="shared" si="0"/>
        <v>0</v>
      </c>
      <c r="C104" s="35"/>
      <c r="D104" s="36">
        <f t="shared" si="1"/>
        <v>0</v>
      </c>
      <c r="E104" s="37"/>
      <c r="F104" s="38"/>
    </row>
    <row r="105" spans="1:8" s="10" customFormat="1" x14ac:dyDescent="0.25">
      <c r="A105" s="33" t="s">
        <v>11</v>
      </c>
      <c r="B105" s="34">
        <f t="shared" si="0"/>
        <v>150</v>
      </c>
      <c r="C105" s="35"/>
      <c r="D105" s="36">
        <f t="shared" si="1"/>
        <v>0.3</v>
      </c>
      <c r="E105" s="37"/>
      <c r="F105" s="38"/>
    </row>
    <row r="106" spans="1:8" s="10" customFormat="1" x14ac:dyDescent="0.25">
      <c r="A106" s="33" t="s">
        <v>24</v>
      </c>
      <c r="B106" s="34">
        <f t="shared" si="0"/>
        <v>0</v>
      </c>
      <c r="C106" s="35"/>
      <c r="D106" s="36">
        <f t="shared" si="1"/>
        <v>0</v>
      </c>
      <c r="E106" s="37"/>
      <c r="F106" s="38"/>
    </row>
    <row r="107" spans="1:8" s="10" customFormat="1" x14ac:dyDescent="0.25">
      <c r="A107" s="33" t="s">
        <v>13</v>
      </c>
      <c r="B107" s="34">
        <f t="shared" si="0"/>
        <v>0</v>
      </c>
      <c r="C107" s="35"/>
      <c r="D107" s="36">
        <f t="shared" si="1"/>
        <v>0</v>
      </c>
      <c r="E107" s="37"/>
      <c r="F107" s="38"/>
    </row>
    <row r="108" spans="1:8" s="10" customFormat="1" x14ac:dyDescent="0.25">
      <c r="A108" s="33" t="s">
        <v>64</v>
      </c>
      <c r="B108" s="34">
        <f>D108*F$6</f>
        <v>0</v>
      </c>
      <c r="C108" s="35"/>
      <c r="D108" s="36">
        <f>F14</f>
        <v>0</v>
      </c>
      <c r="E108" s="37"/>
      <c r="F108" s="38"/>
    </row>
    <row r="109" spans="1:8" s="10" customFormat="1" x14ac:dyDescent="0.25">
      <c r="A109" s="33" t="str">
        <f>A80</f>
        <v>1.g Sauerteig Stufe II</v>
      </c>
      <c r="B109" s="34">
        <f>B80</f>
        <v>149.85000000000002</v>
      </c>
      <c r="C109" s="109">
        <v>21</v>
      </c>
      <c r="D109" s="36">
        <f>D80</f>
        <v>0.29970000000000002</v>
      </c>
      <c r="E109" s="37"/>
      <c r="F109" s="38"/>
    </row>
    <row r="110" spans="1:8" s="47" customFormat="1" x14ac:dyDescent="0.25">
      <c r="A110" s="55" t="s">
        <v>25</v>
      </c>
      <c r="B110" s="164">
        <f>D110*F$6</f>
        <v>0.15</v>
      </c>
      <c r="C110" s="46"/>
      <c r="D110" s="201">
        <v>2.9999999999999997E-4</v>
      </c>
      <c r="E110" s="66"/>
      <c r="F110" s="67"/>
    </row>
    <row r="111" spans="1:8" s="47" customFormat="1" x14ac:dyDescent="0.25">
      <c r="A111" s="70" t="s">
        <v>62</v>
      </c>
      <c r="B111" s="96"/>
      <c r="C111" s="46"/>
      <c r="D111" s="65"/>
      <c r="E111" s="66"/>
      <c r="F111" s="67"/>
    </row>
    <row r="112" spans="1:8" s="10" customFormat="1" x14ac:dyDescent="0.25">
      <c r="A112" s="33" t="s">
        <v>26</v>
      </c>
      <c r="B112" s="34"/>
      <c r="C112" s="35">
        <v>21</v>
      </c>
      <c r="D112" s="36"/>
      <c r="E112" s="37">
        <v>2.0833333333333332E-2</v>
      </c>
      <c r="F112" s="38">
        <f>F114-E112</f>
        <v>46063.284722222226</v>
      </c>
    </row>
    <row r="113" spans="1:8" s="10" customFormat="1" x14ac:dyDescent="0.25">
      <c r="A113" s="33" t="s">
        <v>27</v>
      </c>
      <c r="B113" s="34">
        <f t="shared" si="0"/>
        <v>11.340000000000002</v>
      </c>
      <c r="C113" s="35"/>
      <c r="D113" s="65">
        <f>(B18+F10+F11+F12+F13+F14+B17/2)*2.1%</f>
        <v>2.2680000000000002E-2</v>
      </c>
      <c r="E113" s="37"/>
      <c r="F113" s="38"/>
    </row>
    <row r="114" spans="1:8" s="10" customFormat="1" x14ac:dyDescent="0.25">
      <c r="A114" s="70" t="s">
        <v>57</v>
      </c>
      <c r="B114" s="34"/>
      <c r="C114" s="35"/>
      <c r="D114" s="36"/>
      <c r="E114" s="48">
        <v>6.9444444444444441E-3</v>
      </c>
      <c r="F114" s="49">
        <f>F123-E114</f>
        <v>46063.305555555562</v>
      </c>
    </row>
    <row r="115" spans="1:8" s="10" customFormat="1" x14ac:dyDescent="0.25">
      <c r="A115" s="70" t="s">
        <v>89</v>
      </c>
      <c r="B115" s="34"/>
      <c r="C115" s="35"/>
      <c r="D115" s="36"/>
      <c r="E115" s="48"/>
      <c r="F115" s="49"/>
    </row>
    <row r="116" spans="1:8" s="10" customFormat="1" x14ac:dyDescent="0.25">
      <c r="A116" s="33" t="s">
        <v>90</v>
      </c>
      <c r="B116" s="34">
        <f>B47+B48*50%</f>
        <v>0</v>
      </c>
      <c r="C116" s="35">
        <f>C45</f>
        <v>21</v>
      </c>
      <c r="D116" s="36">
        <f>D45</f>
        <v>0</v>
      </c>
      <c r="E116" s="37"/>
      <c r="F116" s="38"/>
    </row>
    <row r="117" spans="1:8" s="10" customFormat="1" x14ac:dyDescent="0.25">
      <c r="A117" s="33" t="str">
        <f>A51</f>
        <v>1.c entfällt</v>
      </c>
      <c r="B117" s="161">
        <f>B51</f>
        <v>0</v>
      </c>
      <c r="C117" s="35"/>
      <c r="D117" s="36">
        <f>D51</f>
        <v>0</v>
      </c>
      <c r="E117" s="37"/>
      <c r="F117" s="38"/>
    </row>
    <row r="118" spans="1:8" s="10" customFormat="1" x14ac:dyDescent="0.25">
      <c r="A118" s="12" t="str">
        <f>A65</f>
        <v>1.e entfällt</v>
      </c>
      <c r="B118" s="124">
        <f>B65</f>
        <v>0</v>
      </c>
      <c r="C118" s="109">
        <v>21</v>
      </c>
      <c r="D118" s="50">
        <f>D65</f>
        <v>0</v>
      </c>
      <c r="E118" s="12"/>
      <c r="F118" s="12"/>
      <c r="H118" s="44"/>
    </row>
    <row r="119" spans="1:8" s="10" customFormat="1" x14ac:dyDescent="0.25">
      <c r="A119" s="55" t="s">
        <v>94</v>
      </c>
      <c r="B119" s="161">
        <f t="shared" si="0"/>
        <v>15</v>
      </c>
      <c r="C119" s="35">
        <v>35</v>
      </c>
      <c r="D119" s="36">
        <v>0.03</v>
      </c>
      <c r="E119" s="37"/>
      <c r="F119" s="38"/>
    </row>
    <row r="120" spans="1:8" s="13" customFormat="1" x14ac:dyDescent="0.25">
      <c r="A120" s="33" t="s">
        <v>28</v>
      </c>
      <c r="B120" s="34"/>
      <c r="C120" s="35">
        <v>27</v>
      </c>
      <c r="D120" s="51"/>
      <c r="E120" s="37"/>
      <c r="F120" s="38"/>
    </row>
    <row r="121" spans="1:8" s="10" customFormat="1" x14ac:dyDescent="0.25">
      <c r="A121" s="33"/>
      <c r="B121" s="34"/>
      <c r="C121" s="42"/>
      <c r="D121" s="45"/>
      <c r="E121" s="37"/>
      <c r="F121" s="38"/>
    </row>
    <row r="122" spans="1:8" s="10" customFormat="1" ht="17.5" x14ac:dyDescent="0.35">
      <c r="A122" s="159" t="s">
        <v>77</v>
      </c>
      <c r="B122" s="52"/>
      <c r="C122" s="53"/>
      <c r="D122" s="54"/>
      <c r="E122" s="79"/>
      <c r="F122" s="78"/>
    </row>
    <row r="123" spans="1:8" s="13" customFormat="1" x14ac:dyDescent="0.25">
      <c r="A123" s="33" t="s">
        <v>105</v>
      </c>
      <c r="B123" s="34"/>
      <c r="C123" s="142">
        <v>21</v>
      </c>
      <c r="D123" s="143"/>
      <c r="E123" s="144">
        <v>4.1666666666666664E-2</v>
      </c>
      <c r="F123" s="145">
        <f>F126-E123</f>
        <v>46063.312500000007</v>
      </c>
    </row>
    <row r="124" spans="1:8" s="10" customFormat="1" x14ac:dyDescent="0.25">
      <c r="A124" s="12"/>
      <c r="B124" s="57"/>
      <c r="C124" s="35"/>
      <c r="D124" s="58"/>
      <c r="E124" s="59"/>
      <c r="F124" s="38"/>
    </row>
    <row r="125" spans="1:8" s="10" customFormat="1" ht="17.5" x14ac:dyDescent="0.35">
      <c r="A125" s="159" t="s">
        <v>29</v>
      </c>
      <c r="B125" s="60"/>
      <c r="C125" s="53"/>
      <c r="D125" s="54"/>
      <c r="E125" s="31"/>
      <c r="F125" s="32"/>
    </row>
    <row r="126" spans="1:8" s="11" customFormat="1" x14ac:dyDescent="0.25">
      <c r="A126" s="70" t="s">
        <v>97</v>
      </c>
      <c r="B126" s="74"/>
      <c r="C126" s="72"/>
      <c r="D126" s="75"/>
      <c r="E126" s="48">
        <v>6.9444444444444441E-3</v>
      </c>
      <c r="F126" s="49">
        <f>F127-E126</f>
        <v>46063.354166666672</v>
      </c>
    </row>
    <row r="127" spans="1:8" s="13" customFormat="1" x14ac:dyDescent="0.25">
      <c r="A127" s="33" t="s">
        <v>112</v>
      </c>
      <c r="B127" s="56"/>
      <c r="C127" s="177">
        <v>21</v>
      </c>
      <c r="D127" s="186"/>
      <c r="E127" s="144">
        <v>6.25E-2</v>
      </c>
      <c r="F127" s="145">
        <f>F131-E127</f>
        <v>46063.361111111117</v>
      </c>
    </row>
    <row r="129" spans="1:7" s="10" customFormat="1" ht="17.5" x14ac:dyDescent="0.35">
      <c r="A129" s="159" t="s">
        <v>58</v>
      </c>
      <c r="B129" s="60"/>
      <c r="C129" s="61"/>
      <c r="D129" s="54"/>
      <c r="E129" s="31"/>
      <c r="F129" s="32"/>
    </row>
    <row r="130" spans="1:7" s="10" customFormat="1" x14ac:dyDescent="0.25">
      <c r="A130" s="55" t="s">
        <v>98</v>
      </c>
      <c r="B130" s="56"/>
      <c r="C130" s="35">
        <v>250</v>
      </c>
      <c r="D130" s="75"/>
      <c r="E130" s="37">
        <v>2.0833333333333332E-2</v>
      </c>
      <c r="F130" s="38">
        <f>F133-E130</f>
        <v>46063.40625</v>
      </c>
    </row>
    <row r="131" spans="1:7" s="11" customFormat="1" x14ac:dyDescent="0.25">
      <c r="A131" s="74" t="s">
        <v>30</v>
      </c>
      <c r="B131" s="76"/>
      <c r="C131" s="72"/>
      <c r="D131" s="75"/>
      <c r="E131" s="48">
        <v>3.472222222222222E-3</v>
      </c>
      <c r="F131" s="49">
        <f>F133-E131</f>
        <v>46063.423611111117</v>
      </c>
    </row>
    <row r="132" spans="1:7" s="11" customFormat="1" x14ac:dyDescent="0.25">
      <c r="A132" s="70" t="s">
        <v>99</v>
      </c>
      <c r="B132" s="71"/>
      <c r="C132" s="72"/>
      <c r="D132" s="75"/>
      <c r="E132" s="48"/>
      <c r="F132" s="49"/>
    </row>
    <row r="133" spans="1:7" s="10" customFormat="1" x14ac:dyDescent="0.25">
      <c r="A133" s="55" t="s">
        <v>31</v>
      </c>
      <c r="B133" s="34"/>
      <c r="C133" s="35">
        <v>240</v>
      </c>
      <c r="D133" s="58"/>
      <c r="E133" s="37">
        <v>6.9444444444444441E-3</v>
      </c>
      <c r="F133" s="38">
        <f>F135-E133</f>
        <v>46063.427083333336</v>
      </c>
    </row>
    <row r="134" spans="1:7" s="11" customFormat="1" x14ac:dyDescent="0.25">
      <c r="A134" s="70" t="s">
        <v>100</v>
      </c>
      <c r="B134" s="71"/>
      <c r="C134" s="72"/>
      <c r="D134" s="75"/>
      <c r="E134" s="48"/>
      <c r="F134" s="49"/>
    </row>
    <row r="135" spans="1:7" s="10" customFormat="1" x14ac:dyDescent="0.25">
      <c r="A135" s="55" t="s">
        <v>32</v>
      </c>
      <c r="B135" s="56"/>
      <c r="C135" s="35">
        <v>220</v>
      </c>
      <c r="D135" s="51"/>
      <c r="E135" s="37">
        <v>2.4305555555555556E-2</v>
      </c>
      <c r="F135" s="38">
        <f>F136-E135</f>
        <v>46063.434027777781</v>
      </c>
    </row>
    <row r="136" spans="1:7" s="10" customFormat="1" x14ac:dyDescent="0.25">
      <c r="A136" s="55" t="s">
        <v>101</v>
      </c>
      <c r="B136" s="56"/>
      <c r="C136" s="35"/>
      <c r="D136" s="58"/>
      <c r="E136" s="37"/>
      <c r="F136" s="38">
        <f>F4+F5</f>
        <v>46063.458333333336</v>
      </c>
    </row>
    <row r="137" spans="1:7" s="10" customFormat="1" ht="26" customHeight="1" x14ac:dyDescent="0.25">
      <c r="F137" s="63"/>
    </row>
    <row r="138" spans="1:7" customFormat="1" ht="14.5" customHeight="1" x14ac:dyDescent="0.35">
      <c r="A138" s="3"/>
      <c r="B138" s="207" t="s">
        <v>73</v>
      </c>
      <c r="C138" s="208"/>
      <c r="D138" s="208"/>
      <c r="E138" s="3"/>
      <c r="F138" s="3"/>
    </row>
    <row r="139" spans="1:7" customFormat="1" ht="14.5" x14ac:dyDescent="0.35">
      <c r="A139" s="3"/>
      <c r="B139" s="208"/>
      <c r="C139" s="208"/>
      <c r="D139" s="208"/>
      <c r="E139" s="3"/>
      <c r="F139" s="3"/>
      <c r="G139" s="69"/>
    </row>
    <row r="140" spans="1:7" customFormat="1" ht="14.5" x14ac:dyDescent="0.35">
      <c r="A140" s="3"/>
      <c r="B140" s="208"/>
      <c r="C140" s="208"/>
      <c r="D140" s="208"/>
      <c r="E140" s="3"/>
      <c r="F140" s="3"/>
      <c r="G140" s="69"/>
    </row>
    <row r="141" spans="1:7" customFormat="1" ht="14.5" x14ac:dyDescent="0.35">
      <c r="A141" s="3"/>
      <c r="B141" s="3"/>
      <c r="C141" s="3"/>
      <c r="D141" s="3"/>
      <c r="E141" s="3"/>
      <c r="F141" s="3"/>
      <c r="G141" s="69"/>
    </row>
    <row r="142" spans="1:7" customFormat="1" ht="14.5" x14ac:dyDescent="0.35">
      <c r="A142" s="3"/>
      <c r="B142" s="3"/>
      <c r="C142" s="3"/>
      <c r="D142" s="3"/>
      <c r="E142" s="3"/>
      <c r="F142" s="3"/>
      <c r="G142" s="69"/>
    </row>
    <row r="143" spans="1:7" customFormat="1" ht="14.5" x14ac:dyDescent="0.35">
      <c r="A143" s="3"/>
      <c r="B143" s="3"/>
      <c r="C143" s="3"/>
      <c r="D143" s="3"/>
      <c r="E143" s="3"/>
      <c r="F143" s="3"/>
      <c r="G143" s="69"/>
    </row>
    <row r="144" spans="1:7" customFormat="1" ht="14.5" x14ac:dyDescent="0.35">
      <c r="A144" s="3"/>
      <c r="B144" s="3"/>
      <c r="C144" s="3"/>
      <c r="D144" s="3"/>
      <c r="E144" s="3"/>
      <c r="F144" s="3"/>
      <c r="G144" s="69"/>
    </row>
    <row r="145" spans="1:14" customFormat="1" ht="14.5" x14ac:dyDescent="0.35">
      <c r="A145" s="3"/>
      <c r="B145" s="99"/>
      <c r="C145" s="68"/>
      <c r="D145" s="69"/>
      <c r="E145" s="69"/>
      <c r="F145" s="69"/>
      <c r="G145" s="69"/>
    </row>
    <row r="146" spans="1:14" s="82" customFormat="1" ht="10.5" hidden="1" x14ac:dyDescent="0.25">
      <c r="B146" s="83"/>
      <c r="C146" s="84"/>
      <c r="D146" s="85"/>
      <c r="E146" s="85"/>
      <c r="F146" s="85"/>
      <c r="G146" s="85"/>
    </row>
    <row r="147" spans="1:14" s="82" customFormat="1" ht="11" hidden="1" thickBot="1" x14ac:dyDescent="0.3">
      <c r="A147" s="86" t="s">
        <v>38</v>
      </c>
      <c r="B147" s="87"/>
      <c r="C147" s="83" t="s">
        <v>33</v>
      </c>
      <c r="D147" s="83" t="s">
        <v>34</v>
      </c>
      <c r="E147" s="83" t="s">
        <v>35</v>
      </c>
      <c r="F147" s="83" t="s">
        <v>36</v>
      </c>
      <c r="G147" s="83" t="s">
        <v>37</v>
      </c>
      <c r="I147" s="83" t="s">
        <v>65</v>
      </c>
      <c r="J147" s="83" t="s">
        <v>33</v>
      </c>
      <c r="K147" s="83" t="s">
        <v>34</v>
      </c>
      <c r="L147" s="83" t="s">
        <v>35</v>
      </c>
      <c r="M147" s="83" t="s">
        <v>36</v>
      </c>
      <c r="N147" s="83" t="s">
        <v>37</v>
      </c>
    </row>
    <row r="148" spans="1:14" s="82" customFormat="1" ht="10.5" hidden="1" x14ac:dyDescent="0.25">
      <c r="A148" s="88" t="s">
        <v>21</v>
      </c>
      <c r="B148" s="89">
        <f>B24</f>
        <v>351.5</v>
      </c>
      <c r="C148" s="84">
        <f t="shared" ref="C148:C171" si="2">J148/100*$B148</f>
        <v>0</v>
      </c>
      <c r="D148" s="85">
        <f t="shared" ref="D148:D171" si="3">K148/100*$B148</f>
        <v>0</v>
      </c>
      <c r="E148" s="85">
        <f t="shared" ref="E148:E171" si="4">L148/100*$B148</f>
        <v>0</v>
      </c>
      <c r="F148" s="85">
        <f t="shared" ref="F148:F171" si="5">M148/100*$B148</f>
        <v>0</v>
      </c>
      <c r="G148" s="85">
        <f t="shared" ref="G148:G171" si="6">N148/100*$B148</f>
        <v>0</v>
      </c>
      <c r="I148" s="83" t="s">
        <v>21</v>
      </c>
      <c r="J148" s="84">
        <v>0</v>
      </c>
      <c r="K148" s="85">
        <v>0</v>
      </c>
      <c r="L148" s="85">
        <v>0</v>
      </c>
      <c r="M148" s="85">
        <v>0</v>
      </c>
      <c r="N148" s="85">
        <v>0</v>
      </c>
    </row>
    <row r="149" spans="1:14" s="82" customFormat="1" ht="10.5" hidden="1" x14ac:dyDescent="0.25">
      <c r="A149" s="90" t="s">
        <v>7</v>
      </c>
      <c r="B149" s="91">
        <f>B9*$F$6</f>
        <v>0</v>
      </c>
      <c r="C149" s="84">
        <f t="shared" si="2"/>
        <v>0</v>
      </c>
      <c r="D149" s="85">
        <f t="shared" si="3"/>
        <v>0</v>
      </c>
      <c r="E149" s="85">
        <f t="shared" si="4"/>
        <v>0</v>
      </c>
      <c r="F149" s="85">
        <f t="shared" si="5"/>
        <v>0</v>
      </c>
      <c r="G149" s="85">
        <f t="shared" si="6"/>
        <v>0</v>
      </c>
      <c r="I149" s="83" t="s">
        <v>7</v>
      </c>
      <c r="J149" s="84">
        <v>350</v>
      </c>
      <c r="K149" s="85">
        <v>71.7</v>
      </c>
      <c r="L149" s="85">
        <v>11.7</v>
      </c>
      <c r="M149" s="85">
        <v>2.2000000000000002</v>
      </c>
      <c r="N149" s="85">
        <v>0.8</v>
      </c>
    </row>
    <row r="150" spans="1:14" s="82" customFormat="1" ht="10.5" hidden="1" x14ac:dyDescent="0.25">
      <c r="A150" s="90" t="s">
        <v>9</v>
      </c>
      <c r="B150" s="91">
        <f>(B10+B16)*$F$6</f>
        <v>270</v>
      </c>
      <c r="C150" s="84">
        <f t="shared" si="2"/>
        <v>936.90000000000009</v>
      </c>
      <c r="D150" s="85">
        <f t="shared" si="3"/>
        <v>194.4</v>
      </c>
      <c r="E150" s="85">
        <f t="shared" si="4"/>
        <v>28.619999999999997</v>
      </c>
      <c r="F150" s="85">
        <f t="shared" si="5"/>
        <v>9.4500000000000011</v>
      </c>
      <c r="G150" s="85">
        <f t="shared" si="6"/>
        <v>2.97</v>
      </c>
      <c r="I150" s="83" t="s">
        <v>9</v>
      </c>
      <c r="J150" s="84">
        <v>347</v>
      </c>
      <c r="K150" s="85">
        <v>72</v>
      </c>
      <c r="L150" s="85">
        <v>10.6</v>
      </c>
      <c r="M150" s="85">
        <v>3.5</v>
      </c>
      <c r="N150" s="85">
        <v>1.1000000000000001</v>
      </c>
    </row>
    <row r="151" spans="1:14" s="82" customFormat="1" ht="10.5" hidden="1" x14ac:dyDescent="0.25">
      <c r="A151" s="90" t="s">
        <v>39</v>
      </c>
      <c r="B151" s="91">
        <f>(B11+B17/2)*$F$6</f>
        <v>40</v>
      </c>
      <c r="C151" s="84">
        <f t="shared" si="2"/>
        <v>130</v>
      </c>
      <c r="D151" s="85">
        <f t="shared" si="3"/>
        <v>27.160000000000004</v>
      </c>
      <c r="E151" s="85">
        <f t="shared" si="4"/>
        <v>2.9600000000000004</v>
      </c>
      <c r="F151" s="85">
        <f t="shared" si="5"/>
        <v>2.7600000000000002</v>
      </c>
      <c r="G151" s="85">
        <f t="shared" si="6"/>
        <v>0.44000000000000006</v>
      </c>
      <c r="I151" s="83" t="s">
        <v>39</v>
      </c>
      <c r="J151" s="84">
        <v>325</v>
      </c>
      <c r="K151" s="85">
        <v>67.900000000000006</v>
      </c>
      <c r="L151" s="85">
        <v>7.4</v>
      </c>
      <c r="M151" s="85">
        <v>6.9</v>
      </c>
      <c r="N151" s="85">
        <v>1.1000000000000001</v>
      </c>
    </row>
    <row r="152" spans="1:14" s="82" customFormat="1" ht="10.5" hidden="1" x14ac:dyDescent="0.25">
      <c r="A152" s="90" t="s">
        <v>11</v>
      </c>
      <c r="B152" s="91">
        <f>(B12)*$F$6</f>
        <v>150</v>
      </c>
      <c r="C152" s="84">
        <f t="shared" si="2"/>
        <v>532.5</v>
      </c>
      <c r="D152" s="85">
        <f t="shared" si="3"/>
        <v>95.55</v>
      </c>
      <c r="E152" s="85">
        <f t="shared" si="4"/>
        <v>19.05</v>
      </c>
      <c r="F152" s="85">
        <f t="shared" si="5"/>
        <v>12.450000000000001</v>
      </c>
      <c r="G152" s="85">
        <f t="shared" si="6"/>
        <v>2.5500000000000003</v>
      </c>
      <c r="I152" s="83" t="s">
        <v>11</v>
      </c>
      <c r="J152" s="84">
        <v>355</v>
      </c>
      <c r="K152" s="85">
        <v>63.7</v>
      </c>
      <c r="L152" s="85">
        <v>12.7</v>
      </c>
      <c r="M152" s="85">
        <v>8.3000000000000007</v>
      </c>
      <c r="N152" s="85">
        <v>1.7</v>
      </c>
    </row>
    <row r="153" spans="1:14" s="82" customFormat="1" ht="10.5" hidden="1" x14ac:dyDescent="0.25">
      <c r="A153" s="90" t="s">
        <v>24</v>
      </c>
      <c r="B153" s="91">
        <f>B13*$F$6</f>
        <v>0</v>
      </c>
      <c r="C153" s="84">
        <f t="shared" si="2"/>
        <v>0</v>
      </c>
      <c r="D153" s="85">
        <f t="shared" si="3"/>
        <v>0</v>
      </c>
      <c r="E153" s="85">
        <f t="shared" si="4"/>
        <v>0</v>
      </c>
      <c r="F153" s="85">
        <f t="shared" si="5"/>
        <v>0</v>
      </c>
      <c r="G153" s="85">
        <f t="shared" si="6"/>
        <v>0</v>
      </c>
      <c r="I153" s="83" t="s">
        <v>24</v>
      </c>
      <c r="J153" s="84">
        <v>325</v>
      </c>
      <c r="K153" s="85">
        <v>59.5</v>
      </c>
      <c r="L153" s="85">
        <v>11.4</v>
      </c>
      <c r="M153" s="85">
        <v>10</v>
      </c>
      <c r="N153" s="85">
        <v>0.9</v>
      </c>
    </row>
    <row r="154" spans="1:14" s="82" customFormat="1" ht="10.5" hidden="1" x14ac:dyDescent="0.25">
      <c r="A154" s="90" t="s">
        <v>13</v>
      </c>
      <c r="B154" s="91">
        <f>(B14+B17/2)*$F$6</f>
        <v>40</v>
      </c>
      <c r="C154" s="84">
        <f t="shared" si="2"/>
        <v>129.19999999999999</v>
      </c>
      <c r="D154" s="85">
        <f t="shared" si="3"/>
        <v>24.28</v>
      </c>
      <c r="E154" s="85">
        <f t="shared" si="4"/>
        <v>3.8</v>
      </c>
      <c r="F154" s="85">
        <f t="shared" si="5"/>
        <v>5.36</v>
      </c>
      <c r="G154" s="85">
        <f t="shared" si="6"/>
        <v>0.41200000000000003</v>
      </c>
      <c r="I154" s="83" t="s">
        <v>13</v>
      </c>
      <c r="J154" s="84">
        <v>323</v>
      </c>
      <c r="K154" s="85">
        <v>60.7</v>
      </c>
      <c r="L154" s="85">
        <v>9.5</v>
      </c>
      <c r="M154" s="85">
        <v>13.4</v>
      </c>
      <c r="N154" s="85">
        <v>1.03</v>
      </c>
    </row>
    <row r="155" spans="1:14" s="82" customFormat="1" ht="10.5" hidden="1" x14ac:dyDescent="0.25">
      <c r="A155" s="90" t="s">
        <v>64</v>
      </c>
      <c r="B155" s="91">
        <f>B108</f>
        <v>0</v>
      </c>
      <c r="C155" s="84">
        <f t="shared" si="2"/>
        <v>0</v>
      </c>
      <c r="D155" s="85">
        <f t="shared" si="3"/>
        <v>0</v>
      </c>
      <c r="E155" s="85">
        <f t="shared" si="4"/>
        <v>0</v>
      </c>
      <c r="F155" s="85">
        <f t="shared" si="5"/>
        <v>0</v>
      </c>
      <c r="G155" s="85">
        <f t="shared" si="6"/>
        <v>0</v>
      </c>
      <c r="I155" s="83" t="s">
        <v>64</v>
      </c>
      <c r="J155" s="84">
        <v>200</v>
      </c>
      <c r="K155" s="85">
        <v>3.5</v>
      </c>
      <c r="L155" s="85">
        <v>2</v>
      </c>
      <c r="M155" s="85">
        <v>85</v>
      </c>
      <c r="N155" s="85">
        <v>1.5</v>
      </c>
    </row>
    <row r="156" spans="1:14" s="82" customFormat="1" ht="10.5" hidden="1" x14ac:dyDescent="0.25">
      <c r="A156" s="90" t="s">
        <v>40</v>
      </c>
      <c r="B156" s="91">
        <v>0</v>
      </c>
      <c r="C156" s="84">
        <f t="shared" si="2"/>
        <v>0</v>
      </c>
      <c r="D156" s="85">
        <f t="shared" si="3"/>
        <v>0</v>
      </c>
      <c r="E156" s="85">
        <f t="shared" si="4"/>
        <v>0</v>
      </c>
      <c r="F156" s="85">
        <f t="shared" si="5"/>
        <v>0</v>
      </c>
      <c r="G156" s="85">
        <f t="shared" si="6"/>
        <v>0</v>
      </c>
      <c r="I156" s="83" t="s">
        <v>40</v>
      </c>
      <c r="J156" s="84">
        <v>127</v>
      </c>
      <c r="K156" s="85">
        <v>12.5</v>
      </c>
      <c r="L156" s="85">
        <v>11.1</v>
      </c>
      <c r="M156" s="85">
        <v>10.199999999999999</v>
      </c>
      <c r="N156" s="85">
        <v>2</v>
      </c>
    </row>
    <row r="157" spans="1:14" s="82" customFormat="1" ht="10.5" hidden="1" x14ac:dyDescent="0.25">
      <c r="A157" s="90" t="s">
        <v>27</v>
      </c>
      <c r="B157" s="91">
        <f>B113</f>
        <v>11.340000000000002</v>
      </c>
      <c r="C157" s="84">
        <f t="shared" si="2"/>
        <v>0</v>
      </c>
      <c r="D157" s="85">
        <f t="shared" si="3"/>
        <v>0</v>
      </c>
      <c r="E157" s="85">
        <f t="shared" si="4"/>
        <v>0</v>
      </c>
      <c r="F157" s="85">
        <f t="shared" si="5"/>
        <v>0</v>
      </c>
      <c r="G157" s="85">
        <f t="shared" si="6"/>
        <v>0</v>
      </c>
      <c r="I157" s="83" t="s">
        <v>27</v>
      </c>
      <c r="J157" s="84">
        <v>0</v>
      </c>
      <c r="K157" s="85">
        <v>0</v>
      </c>
      <c r="L157" s="85">
        <v>0</v>
      </c>
      <c r="M157" s="85">
        <v>0</v>
      </c>
      <c r="N157" s="85">
        <v>0</v>
      </c>
    </row>
    <row r="158" spans="1:14" s="82" customFormat="1" ht="10.5" hidden="1" x14ac:dyDescent="0.25">
      <c r="A158" s="90" t="s">
        <v>41</v>
      </c>
      <c r="B158" s="91">
        <f>0</f>
        <v>0</v>
      </c>
      <c r="C158" s="84">
        <f t="shared" si="2"/>
        <v>0</v>
      </c>
      <c r="D158" s="85">
        <f t="shared" si="3"/>
        <v>0</v>
      </c>
      <c r="E158" s="85">
        <f t="shared" si="4"/>
        <v>0</v>
      </c>
      <c r="F158" s="85">
        <f t="shared" si="5"/>
        <v>0</v>
      </c>
      <c r="G158" s="85">
        <f t="shared" si="6"/>
        <v>0</v>
      </c>
      <c r="I158" s="83" t="s">
        <v>41</v>
      </c>
      <c r="J158" s="84">
        <v>304</v>
      </c>
      <c r="K158" s="85">
        <v>82.4</v>
      </c>
      <c r="L158" s="85">
        <v>0.3</v>
      </c>
      <c r="M158" s="85">
        <v>0.2</v>
      </c>
      <c r="N158" s="85">
        <v>0</v>
      </c>
    </row>
    <row r="159" spans="1:14" s="82" customFormat="1" ht="10.5" hidden="1" x14ac:dyDescent="0.25">
      <c r="A159" s="90" t="s">
        <v>8</v>
      </c>
      <c r="B159" s="91">
        <f>F9*$F$6</f>
        <v>0</v>
      </c>
      <c r="C159" s="84">
        <f t="shared" si="2"/>
        <v>0</v>
      </c>
      <c r="D159" s="85">
        <f t="shared" si="3"/>
        <v>0</v>
      </c>
      <c r="E159" s="85">
        <f t="shared" si="4"/>
        <v>0</v>
      </c>
      <c r="F159" s="85">
        <f t="shared" si="5"/>
        <v>0</v>
      </c>
      <c r="G159" s="85">
        <f t="shared" si="6"/>
        <v>0</v>
      </c>
      <c r="I159" s="83" t="s">
        <v>8</v>
      </c>
      <c r="J159" s="84">
        <v>213</v>
      </c>
      <c r="K159" s="85">
        <v>43</v>
      </c>
      <c r="L159" s="85">
        <v>6.6</v>
      </c>
      <c r="M159" s="85">
        <v>5</v>
      </c>
      <c r="N159" s="85">
        <v>0.9</v>
      </c>
    </row>
    <row r="160" spans="1:14" s="82" customFormat="1" ht="10.5" hidden="1" x14ac:dyDescent="0.25">
      <c r="A160" s="90" t="s">
        <v>42</v>
      </c>
      <c r="B160" s="91">
        <v>0</v>
      </c>
      <c r="C160" s="84">
        <f t="shared" si="2"/>
        <v>0</v>
      </c>
      <c r="D160" s="85">
        <f t="shared" si="3"/>
        <v>0</v>
      </c>
      <c r="E160" s="85">
        <f t="shared" si="4"/>
        <v>0</v>
      </c>
      <c r="F160" s="85">
        <f t="shared" si="5"/>
        <v>0</v>
      </c>
      <c r="G160" s="85">
        <f t="shared" si="6"/>
        <v>0</v>
      </c>
      <c r="I160" s="83" t="s">
        <v>42</v>
      </c>
      <c r="J160" s="84">
        <v>598</v>
      </c>
      <c r="K160" s="85">
        <v>10.199999999999999</v>
      </c>
      <c r="L160" s="85">
        <v>20</v>
      </c>
      <c r="M160" s="85">
        <v>12</v>
      </c>
      <c r="N160" s="85">
        <v>50.7</v>
      </c>
    </row>
    <row r="161" spans="1:14" s="82" customFormat="1" ht="10.5" hidden="1" x14ac:dyDescent="0.25">
      <c r="A161" s="90" t="s">
        <v>43</v>
      </c>
      <c r="B161" s="91">
        <f>B53</f>
        <v>0</v>
      </c>
      <c r="C161" s="84">
        <f t="shared" si="2"/>
        <v>0</v>
      </c>
      <c r="D161" s="85">
        <f t="shared" si="3"/>
        <v>0</v>
      </c>
      <c r="E161" s="85">
        <f t="shared" si="4"/>
        <v>0</v>
      </c>
      <c r="F161" s="85">
        <f t="shared" si="5"/>
        <v>0</v>
      </c>
      <c r="G161" s="85">
        <f t="shared" si="6"/>
        <v>0</v>
      </c>
      <c r="I161" s="83" t="s">
        <v>43</v>
      </c>
      <c r="J161" s="84">
        <v>500</v>
      </c>
      <c r="K161" s="85">
        <v>7.8</v>
      </c>
      <c r="L161" s="85">
        <v>23</v>
      </c>
      <c r="M161" s="85">
        <v>27.5</v>
      </c>
      <c r="N161" s="85">
        <v>37</v>
      </c>
    </row>
    <row r="162" spans="1:14" s="82" customFormat="1" ht="10.5" hidden="1" x14ac:dyDescent="0.25">
      <c r="A162" s="90" t="s">
        <v>44</v>
      </c>
      <c r="B162" s="91">
        <v>0</v>
      </c>
      <c r="C162" s="84">
        <f t="shared" si="2"/>
        <v>0</v>
      </c>
      <c r="D162" s="85">
        <f t="shared" si="3"/>
        <v>0</v>
      </c>
      <c r="E162" s="85">
        <f t="shared" si="4"/>
        <v>0</v>
      </c>
      <c r="F162" s="85">
        <f t="shared" si="5"/>
        <v>0</v>
      </c>
      <c r="G162" s="85">
        <f t="shared" si="6"/>
        <v>0</v>
      </c>
      <c r="I162" s="83" t="s">
        <v>44</v>
      </c>
      <c r="J162" s="84">
        <v>533</v>
      </c>
      <c r="K162" s="85">
        <v>23.69</v>
      </c>
      <c r="L162" s="85">
        <v>18.04</v>
      </c>
      <c r="M162" s="85">
        <v>10</v>
      </c>
      <c r="N162" s="85">
        <v>44.7</v>
      </c>
    </row>
    <row r="163" spans="1:14" s="82" customFormat="1" ht="10.5" hidden="1" x14ac:dyDescent="0.25">
      <c r="A163" s="90" t="s">
        <v>45</v>
      </c>
      <c r="B163" s="91">
        <v>0</v>
      </c>
      <c r="C163" s="84">
        <f t="shared" si="2"/>
        <v>0</v>
      </c>
      <c r="D163" s="85">
        <f t="shared" si="3"/>
        <v>0</v>
      </c>
      <c r="E163" s="85">
        <f t="shared" si="4"/>
        <v>0</v>
      </c>
      <c r="F163" s="85">
        <f t="shared" si="5"/>
        <v>0</v>
      </c>
      <c r="G163" s="85">
        <f t="shared" si="6"/>
        <v>0</v>
      </c>
      <c r="I163" s="83" t="s">
        <v>45</v>
      </c>
      <c r="J163" s="84">
        <v>584</v>
      </c>
      <c r="K163" s="85">
        <v>11.4</v>
      </c>
      <c r="L163" s="85">
        <v>20.8</v>
      </c>
      <c r="M163" s="85">
        <v>8.6</v>
      </c>
      <c r="N163" s="85">
        <v>51.5</v>
      </c>
    </row>
    <row r="164" spans="1:14" s="82" customFormat="1" ht="10.5" hidden="1" x14ac:dyDescent="0.25">
      <c r="A164" s="90" t="s">
        <v>67</v>
      </c>
      <c r="B164" s="91">
        <f>B47</f>
        <v>0</v>
      </c>
      <c r="C164" s="84">
        <f t="shared" ref="C164" si="7">J164/100*$B164</f>
        <v>0</v>
      </c>
      <c r="D164" s="85">
        <f t="shared" ref="D164" si="8">K164/100*$B164</f>
        <v>0</v>
      </c>
      <c r="E164" s="85">
        <f t="shared" ref="E164" si="9">L164/100*$B164</f>
        <v>0</v>
      </c>
      <c r="F164" s="85">
        <f t="shared" ref="F164" si="10">M164/100*$B164</f>
        <v>0</v>
      </c>
      <c r="G164" s="85">
        <f t="shared" ref="G164" si="11">N164/100*$B164</f>
        <v>0</v>
      </c>
      <c r="I164" s="83" t="s">
        <v>67</v>
      </c>
      <c r="J164" s="84">
        <v>620</v>
      </c>
      <c r="K164" s="85">
        <v>19</v>
      </c>
      <c r="L164" s="85">
        <v>17</v>
      </c>
      <c r="M164" s="85">
        <v>7.5</v>
      </c>
      <c r="N164" s="85">
        <v>53</v>
      </c>
    </row>
    <row r="165" spans="1:14" s="82" customFormat="1" ht="10.5" hidden="1" x14ac:dyDescent="0.25">
      <c r="A165" s="90" t="s">
        <v>46</v>
      </c>
      <c r="B165" s="91">
        <f>B61</f>
        <v>0</v>
      </c>
      <c r="C165" s="84">
        <f t="shared" si="2"/>
        <v>0</v>
      </c>
      <c r="D165" s="85">
        <f t="shared" si="3"/>
        <v>0</v>
      </c>
      <c r="E165" s="85">
        <f t="shared" si="4"/>
        <v>0</v>
      </c>
      <c r="F165" s="85">
        <f t="shared" si="5"/>
        <v>0</v>
      </c>
      <c r="G165" s="85">
        <f t="shared" si="6"/>
        <v>0</v>
      </c>
      <c r="I165" s="83" t="s">
        <v>46</v>
      </c>
      <c r="J165" s="84">
        <v>371</v>
      </c>
      <c r="K165" s="85">
        <v>58.7</v>
      </c>
      <c r="L165" s="85">
        <v>13.5</v>
      </c>
      <c r="M165" s="85">
        <v>10</v>
      </c>
      <c r="N165" s="85">
        <v>7</v>
      </c>
    </row>
    <row r="166" spans="1:14" s="82" customFormat="1" ht="10.5" hidden="1" x14ac:dyDescent="0.25">
      <c r="A166" s="90" t="s">
        <v>47</v>
      </c>
      <c r="B166" s="91">
        <v>0</v>
      </c>
      <c r="C166" s="84">
        <f t="shared" si="2"/>
        <v>0</v>
      </c>
      <c r="D166" s="85">
        <f t="shared" si="3"/>
        <v>0</v>
      </c>
      <c r="E166" s="85">
        <f t="shared" si="4"/>
        <v>0</v>
      </c>
      <c r="F166" s="85">
        <f t="shared" si="5"/>
        <v>0</v>
      </c>
      <c r="G166" s="85">
        <f t="shared" si="6"/>
        <v>0</v>
      </c>
      <c r="I166" s="83" t="s">
        <v>47</v>
      </c>
      <c r="J166" s="84">
        <v>352</v>
      </c>
      <c r="K166" s="85">
        <v>66.400000000000006</v>
      </c>
      <c r="L166" s="85">
        <v>11.9</v>
      </c>
      <c r="M166" s="85">
        <v>0</v>
      </c>
      <c r="N166" s="85">
        <v>2.8</v>
      </c>
    </row>
    <row r="167" spans="1:14" s="82" customFormat="1" ht="10.5" hidden="1" x14ac:dyDescent="0.25">
      <c r="A167" s="90" t="s">
        <v>48</v>
      </c>
      <c r="B167" s="91">
        <f>B68</f>
        <v>0</v>
      </c>
      <c r="C167" s="84">
        <f t="shared" si="2"/>
        <v>0</v>
      </c>
      <c r="D167" s="85">
        <f t="shared" si="3"/>
        <v>0</v>
      </c>
      <c r="E167" s="85">
        <f t="shared" si="4"/>
        <v>0</v>
      </c>
      <c r="F167" s="85">
        <f t="shared" si="5"/>
        <v>0</v>
      </c>
      <c r="G167" s="85">
        <f t="shared" si="6"/>
        <v>0</v>
      </c>
      <c r="I167" s="83" t="s">
        <v>48</v>
      </c>
      <c r="J167" s="84">
        <v>327</v>
      </c>
      <c r="K167" s="85">
        <v>59.6</v>
      </c>
      <c r="L167" s="85">
        <v>11.4</v>
      </c>
      <c r="M167" s="85">
        <v>0</v>
      </c>
      <c r="N167" s="85">
        <v>1.8</v>
      </c>
    </row>
    <row r="168" spans="1:14" s="82" customFormat="1" ht="10.5" hidden="1" x14ac:dyDescent="0.25">
      <c r="A168" s="90" t="s">
        <v>49</v>
      </c>
      <c r="B168" s="91">
        <v>0</v>
      </c>
      <c r="C168" s="84">
        <f t="shared" si="2"/>
        <v>0</v>
      </c>
      <c r="D168" s="85">
        <f t="shared" si="3"/>
        <v>0</v>
      </c>
      <c r="E168" s="85">
        <f t="shared" si="4"/>
        <v>0</v>
      </c>
      <c r="F168" s="85">
        <f t="shared" si="5"/>
        <v>0</v>
      </c>
      <c r="G168" s="85">
        <f t="shared" si="6"/>
        <v>0</v>
      </c>
      <c r="I168" s="83" t="s">
        <v>49</v>
      </c>
      <c r="J168" s="84">
        <v>330</v>
      </c>
      <c r="K168" s="85">
        <v>63.3</v>
      </c>
      <c r="L168" s="85">
        <v>8.8000000000000007</v>
      </c>
      <c r="M168" s="85">
        <v>0</v>
      </c>
      <c r="N168" s="85">
        <v>1.8</v>
      </c>
    </row>
    <row r="169" spans="1:14" s="82" customFormat="1" ht="10.5" hidden="1" x14ac:dyDescent="0.25">
      <c r="A169" s="90" t="s">
        <v>50</v>
      </c>
      <c r="B169" s="91">
        <v>0</v>
      </c>
      <c r="C169" s="84">
        <f t="shared" si="2"/>
        <v>0</v>
      </c>
      <c r="D169" s="85">
        <f t="shared" si="3"/>
        <v>0</v>
      </c>
      <c r="E169" s="85">
        <f t="shared" si="4"/>
        <v>0</v>
      </c>
      <c r="F169" s="85">
        <f t="shared" si="5"/>
        <v>0</v>
      </c>
      <c r="G169" s="85">
        <f t="shared" si="6"/>
        <v>0</v>
      </c>
      <c r="I169" s="83" t="s">
        <v>50</v>
      </c>
      <c r="J169" s="84">
        <v>347</v>
      </c>
      <c r="K169" s="85">
        <v>63</v>
      </c>
      <c r="L169" s="85">
        <v>17</v>
      </c>
      <c r="M169" s="85">
        <v>9.9</v>
      </c>
      <c r="N169" s="85">
        <v>2.7</v>
      </c>
    </row>
    <row r="170" spans="1:14" s="82" customFormat="1" ht="10.5" hidden="1" x14ac:dyDescent="0.25">
      <c r="A170" s="90" t="s">
        <v>51</v>
      </c>
      <c r="B170" s="91">
        <v>0</v>
      </c>
      <c r="C170" s="84">
        <f t="shared" si="2"/>
        <v>0</v>
      </c>
      <c r="D170" s="85">
        <f t="shared" si="3"/>
        <v>0</v>
      </c>
      <c r="E170" s="85">
        <f t="shared" si="4"/>
        <v>0</v>
      </c>
      <c r="F170" s="85">
        <f t="shared" si="5"/>
        <v>0</v>
      </c>
      <c r="G170" s="85">
        <f t="shared" si="6"/>
        <v>0</v>
      </c>
      <c r="I170" s="83" t="s">
        <v>51</v>
      </c>
      <c r="J170" s="84">
        <v>713</v>
      </c>
      <c r="K170" s="85">
        <v>0.5</v>
      </c>
      <c r="L170" s="85">
        <v>0.4</v>
      </c>
      <c r="M170" s="85">
        <v>0</v>
      </c>
      <c r="N170" s="85">
        <v>79</v>
      </c>
    </row>
    <row r="171" spans="1:14" s="82" customFormat="1" ht="11" hidden="1" thickBot="1" x14ac:dyDescent="0.3">
      <c r="A171" s="92" t="s">
        <v>52</v>
      </c>
      <c r="B171" s="93">
        <v>0</v>
      </c>
      <c r="C171" s="84">
        <f t="shared" si="2"/>
        <v>0</v>
      </c>
      <c r="D171" s="85">
        <f t="shared" si="3"/>
        <v>0</v>
      </c>
      <c r="E171" s="85">
        <f t="shared" si="4"/>
        <v>0</v>
      </c>
      <c r="F171" s="85">
        <f t="shared" si="5"/>
        <v>0</v>
      </c>
      <c r="G171" s="85">
        <f t="shared" si="6"/>
        <v>0</v>
      </c>
      <c r="I171" s="83" t="s">
        <v>52</v>
      </c>
      <c r="J171" s="84">
        <v>32</v>
      </c>
      <c r="K171" s="85">
        <v>7.7</v>
      </c>
      <c r="L171" s="85">
        <v>2.7E-2</v>
      </c>
      <c r="M171" s="85">
        <v>0.31</v>
      </c>
      <c r="N171" s="85">
        <v>0.05</v>
      </c>
    </row>
    <row r="172" spans="1:14" s="82" customFormat="1" ht="10.5" hidden="1" x14ac:dyDescent="0.25">
      <c r="A172" s="83" t="s">
        <v>53</v>
      </c>
      <c r="B172" s="94">
        <f>SUM(B148:B171)</f>
        <v>862.84</v>
      </c>
      <c r="C172" s="84">
        <f>SUM(C148:C171)</f>
        <v>1728.6000000000001</v>
      </c>
      <c r="D172" s="84">
        <f t="shared" ref="D172:G172" si="12">SUM(D148:D171)</f>
        <v>341.39</v>
      </c>
      <c r="E172" s="84">
        <f t="shared" si="12"/>
        <v>54.429999999999993</v>
      </c>
      <c r="F172" s="84">
        <f t="shared" si="12"/>
        <v>30.020000000000003</v>
      </c>
      <c r="G172" s="84">
        <f t="shared" si="12"/>
        <v>6.3720000000000008</v>
      </c>
      <c r="I172" s="83"/>
      <c r="J172" s="95"/>
    </row>
    <row r="173" spans="1:14" s="82" customFormat="1" ht="10.5" hidden="1" x14ac:dyDescent="0.25">
      <c r="A173" s="83" t="s">
        <v>54</v>
      </c>
      <c r="B173" s="95">
        <v>0.13</v>
      </c>
    </row>
    <row r="174" spans="1:14" s="82" customFormat="1" ht="10.5" hidden="1" x14ac:dyDescent="0.25">
      <c r="A174" s="83" t="s">
        <v>55</v>
      </c>
      <c r="B174" s="94">
        <f>B172-B172*B173</f>
        <v>750.67079999999999</v>
      </c>
    </row>
    <row r="175" spans="1:14" s="83" customFormat="1" ht="10.5" hidden="1" x14ac:dyDescent="0.25">
      <c r="A175" s="83" t="s">
        <v>56</v>
      </c>
      <c r="B175" s="95">
        <v>0.03</v>
      </c>
    </row>
    <row r="176" spans="1:14" hidden="1" x14ac:dyDescent="0.25"/>
    <row r="177" spans="1:1" x14ac:dyDescent="0.25">
      <c r="A177" s="77"/>
    </row>
  </sheetData>
  <sheetProtection algorithmName="SHA-512" hashValue="6OuWRcXMeVZz8DWHWGxcBPwC2o350n+QZeEG54N+mwJWV8ODdJJoage0AyVySYh4uL8ykscxFaBzlrAl6wRQsA==" saltValue="4/ImXU196JKW5YFDej0O1g==" spinCount="100000" sheet="1" objects="1" scenarios="1"/>
  <mergeCells count="9">
    <mergeCell ref="B138:D140"/>
    <mergeCell ref="D16:F18"/>
    <mergeCell ref="A1:F1"/>
    <mergeCell ref="D4:E4"/>
    <mergeCell ref="D5:E5"/>
    <mergeCell ref="A3:F3"/>
    <mergeCell ref="A8:B8"/>
    <mergeCell ref="D8:F8"/>
    <mergeCell ref="A15:B15"/>
  </mergeCells>
  <conditionalFormatting sqref="A115">
    <cfRule type="expression" dxfId="15" priority="7">
      <formula>($F$10+$F$11+$F$13)=0</formula>
    </cfRule>
  </conditionalFormatting>
  <conditionalFormatting sqref="A59:D59 A60:F63 A98:F98">
    <cfRule type="expression" dxfId="14" priority="25">
      <formula>$F$12=0</formula>
    </cfRule>
  </conditionalFormatting>
  <conditionalFormatting sqref="A57:E57 A70">
    <cfRule type="expression" dxfId="13" priority="100">
      <formula>#REF!=0</formula>
    </cfRule>
  </conditionalFormatting>
  <conditionalFormatting sqref="A46:F49">
    <cfRule type="expression" dxfId="12" priority="28">
      <formula>$F$10=0</formula>
    </cfRule>
  </conditionalFormatting>
  <conditionalFormatting sqref="A52:F56">
    <cfRule type="expression" dxfId="11" priority="3">
      <formula>$F$11=0</formula>
    </cfRule>
  </conditionalFormatting>
  <conditionalFormatting sqref="A66:F70">
    <cfRule type="expression" dxfId="10" priority="30">
      <formula>$F$13=0</formula>
    </cfRule>
  </conditionalFormatting>
  <conditionalFormatting sqref="A73:F79">
    <cfRule type="expression" dxfId="9" priority="1">
      <formula>$F$9=0</formula>
    </cfRule>
  </conditionalFormatting>
  <conditionalFormatting sqref="A99:F99">
    <cfRule type="expression" dxfId="8" priority="2">
      <formula>$F$9=0</formula>
    </cfRule>
  </conditionalFormatting>
  <conditionalFormatting sqref="A102:F107">
    <cfRule type="expression" dxfId="7" priority="20">
      <formula>$B9=0</formula>
    </cfRule>
  </conditionalFormatting>
  <conditionalFormatting sqref="A108:F109">
    <cfRule type="expression" dxfId="6" priority="110">
      <formula>$F$14=0</formula>
    </cfRule>
  </conditionalFormatting>
  <conditionalFormatting sqref="A116:F116">
    <cfRule type="expression" dxfId="5" priority="11">
      <formula>$F$10=0</formula>
    </cfRule>
  </conditionalFormatting>
  <conditionalFormatting sqref="A117:F117">
    <cfRule type="expression" dxfId="4" priority="6">
      <formula>$F$11=0</formula>
    </cfRule>
  </conditionalFormatting>
  <conditionalFormatting sqref="A118:F118">
    <cfRule type="expression" dxfId="3" priority="5">
      <formula>$F$13=0</formula>
    </cfRule>
  </conditionalFormatting>
  <conditionalFormatting sqref="B53:B54">
    <cfRule type="expression" dxfId="2" priority="14">
      <formula>$F$10=0</formula>
    </cfRule>
  </conditionalFormatting>
  <conditionalFormatting sqref="B58:F58">
    <cfRule type="expression" dxfId="1" priority="111">
      <formula>$F$12=0</formula>
    </cfRule>
  </conditionalFormatting>
  <conditionalFormatting sqref="B72:F72">
    <cfRule type="expression" dxfId="0" priority="46">
      <formula>$F$9=0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  <rowBreaks count="2" manualBreakCount="2">
    <brk id="35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2026-02-03T20:36:14Z</cp:lastPrinted>
  <dcterms:created xsi:type="dcterms:W3CDTF">2025-04-29T22:05:03Z</dcterms:created>
  <dcterms:modified xsi:type="dcterms:W3CDTF">2026-02-10T22:14:32Z</dcterms:modified>
  <cp:category/>
  <cp:contentStatus/>
</cp:coreProperties>
</file>