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Brotfeuer-Internetseite_xar_files/"/>
    </mc:Choice>
  </mc:AlternateContent>
  <xr:revisionPtr revIDLastSave="1" documentId="8_{2A408242-CF88-46B7-8BBB-EE5E9D4B900A}" xr6:coauthVersionLast="47" xr6:coauthVersionMax="47" xr10:uidLastSave="{46BECA94-2D42-47C7-8805-13BD2221341E}"/>
  <bookViews>
    <workbookView xWindow="-110" yWindow="-110" windowWidth="19420" windowHeight="10300" xr2:uid="{6AF04D03-3FFF-482B-ADA3-9E84988EE023}"/>
  </bookViews>
  <sheets>
    <sheet name=".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E52" i="1"/>
  <c r="D37" i="1"/>
  <c r="B118" i="1"/>
  <c r="E44" i="1"/>
  <c r="A72" i="1" l="1"/>
  <c r="A58" i="1"/>
  <c r="D36" i="1"/>
  <c r="D30" i="1"/>
  <c r="E8" i="1"/>
  <c r="E9" i="1"/>
  <c r="A65" i="1"/>
  <c r="D67" i="1"/>
  <c r="D68" i="1"/>
  <c r="B68" i="1" s="1"/>
  <c r="D69" i="1"/>
  <c r="B69" i="1" s="1"/>
  <c r="D70" i="1"/>
  <c r="B70" i="1" s="1"/>
  <c r="D71" i="1"/>
  <c r="B71" i="1" s="1"/>
  <c r="B120" i="1"/>
  <c r="F120" i="1" s="1"/>
  <c r="B121" i="1"/>
  <c r="G121" i="1" s="1"/>
  <c r="G118" i="1"/>
  <c r="B126" i="1"/>
  <c r="G126" i="1" s="1"/>
  <c r="B119" i="1"/>
  <c r="F119" i="1" s="1"/>
  <c r="B117" i="1"/>
  <c r="G117" i="1" s="1"/>
  <c r="G137" i="1"/>
  <c r="F137" i="1"/>
  <c r="E137" i="1"/>
  <c r="D137" i="1"/>
  <c r="C137" i="1"/>
  <c r="G136" i="1"/>
  <c r="F136" i="1"/>
  <c r="E136" i="1"/>
  <c r="D136" i="1"/>
  <c r="C136" i="1"/>
  <c r="G135" i="1"/>
  <c r="F135" i="1"/>
  <c r="E135" i="1"/>
  <c r="D135" i="1"/>
  <c r="C135" i="1"/>
  <c r="G134" i="1"/>
  <c r="F134" i="1"/>
  <c r="E134" i="1"/>
  <c r="D134" i="1"/>
  <c r="C134" i="1"/>
  <c r="G133" i="1"/>
  <c r="F133" i="1"/>
  <c r="E133" i="1"/>
  <c r="D133" i="1"/>
  <c r="C133" i="1"/>
  <c r="G132" i="1"/>
  <c r="F132" i="1"/>
  <c r="E132" i="1"/>
  <c r="D132" i="1"/>
  <c r="C132" i="1"/>
  <c r="G131" i="1"/>
  <c r="F131" i="1"/>
  <c r="E131" i="1"/>
  <c r="D131" i="1"/>
  <c r="C131" i="1"/>
  <c r="G130" i="1"/>
  <c r="F130" i="1"/>
  <c r="E130" i="1"/>
  <c r="D130" i="1"/>
  <c r="C130" i="1"/>
  <c r="G129" i="1"/>
  <c r="F129" i="1"/>
  <c r="E129" i="1"/>
  <c r="D129" i="1"/>
  <c r="C129" i="1"/>
  <c r="G127" i="1"/>
  <c r="F127" i="1"/>
  <c r="E127" i="1"/>
  <c r="D127" i="1"/>
  <c r="C127" i="1"/>
  <c r="D43" i="1"/>
  <c r="D42" i="1" s="1"/>
  <c r="D49" i="1"/>
  <c r="D48" i="1" s="1"/>
  <c r="D76" i="1"/>
  <c r="B67" i="1" l="1"/>
  <c r="C121" i="1"/>
  <c r="D121" i="1"/>
  <c r="C126" i="1"/>
  <c r="D126" i="1"/>
  <c r="C120" i="1"/>
  <c r="G119" i="1"/>
  <c r="E121" i="1"/>
  <c r="F121" i="1"/>
  <c r="E120" i="1"/>
  <c r="G120" i="1"/>
  <c r="D120" i="1"/>
  <c r="E118" i="1"/>
  <c r="F118" i="1"/>
  <c r="E126" i="1"/>
  <c r="F126" i="1"/>
  <c r="C118" i="1"/>
  <c r="D118" i="1"/>
  <c r="C119" i="1"/>
  <c r="D119" i="1"/>
  <c r="E119" i="1"/>
  <c r="C117" i="1"/>
  <c r="D117" i="1"/>
  <c r="E117" i="1"/>
  <c r="F117" i="1"/>
  <c r="D29" i="1"/>
  <c r="B31" i="1"/>
  <c r="C79" i="1"/>
  <c r="A79" i="1"/>
  <c r="B37" i="1"/>
  <c r="B128" i="1" s="1"/>
  <c r="B30" i="1"/>
  <c r="D128" i="1" l="1"/>
  <c r="C128" i="1"/>
  <c r="G128" i="1"/>
  <c r="F128" i="1"/>
  <c r="E128" i="1"/>
  <c r="B29" i="1"/>
  <c r="D34" i="1"/>
  <c r="D79" i="1" s="1"/>
  <c r="B36" i="1"/>
  <c r="B34" i="1" s="1"/>
  <c r="B79" i="1" s="1"/>
  <c r="D27" i="1"/>
  <c r="D58" i="1" l="1"/>
  <c r="D56" i="1" s="1"/>
  <c r="B27" i="1"/>
  <c r="F100" i="1"/>
  <c r="B73" i="1"/>
  <c r="D66" i="1"/>
  <c r="D57" i="1" l="1"/>
  <c r="B58" i="1"/>
  <c r="F99" i="1"/>
  <c r="F97" i="1" s="1"/>
  <c r="B80" i="1"/>
  <c r="B77" i="1"/>
  <c r="B125" i="1" s="1"/>
  <c r="B76" i="1"/>
  <c r="B124" i="1" s="1"/>
  <c r="B66" i="1"/>
  <c r="B43" i="1"/>
  <c r="B49" i="1"/>
  <c r="B48" i="1"/>
  <c r="D22" i="1" l="1"/>
  <c r="B16" i="1"/>
  <c r="F92" i="1"/>
  <c r="F93" i="1"/>
  <c r="F89" i="1" s="1"/>
  <c r="F87" i="1" s="1"/>
  <c r="F83" i="1" s="1"/>
  <c r="F78" i="1" s="1"/>
  <c r="F75" i="1" s="1"/>
  <c r="B57" i="1"/>
  <c r="B22" i="1" s="1"/>
  <c r="F123" i="1"/>
  <c r="E123" i="1"/>
  <c r="C123" i="1"/>
  <c r="D123" i="1"/>
  <c r="G123" i="1"/>
  <c r="E124" i="1"/>
  <c r="G124" i="1"/>
  <c r="F124" i="1"/>
  <c r="D124" i="1"/>
  <c r="C124" i="1"/>
  <c r="F125" i="1"/>
  <c r="E125" i="1"/>
  <c r="D125" i="1"/>
  <c r="C125" i="1"/>
  <c r="G125" i="1"/>
  <c r="A64" i="1"/>
  <c r="D63" i="1" l="1"/>
  <c r="D23" i="1" s="1"/>
  <c r="B122" i="1"/>
  <c r="B17" i="1"/>
  <c r="B56" i="1"/>
  <c r="B54" i="1" s="1"/>
  <c r="D54" i="1"/>
  <c r="D72" i="1" s="1"/>
  <c r="B72" i="1" s="1"/>
  <c r="B42" i="1"/>
  <c r="D40" i="1"/>
  <c r="D64" i="1" s="1"/>
  <c r="D46" i="1"/>
  <c r="D65" i="1" s="1"/>
  <c r="C122" i="1" l="1"/>
  <c r="C138" i="1" s="1"/>
  <c r="F122" i="1"/>
  <c r="F138" i="1" s="1"/>
  <c r="D122" i="1"/>
  <c r="D138" i="1" s="1"/>
  <c r="G122" i="1"/>
  <c r="G138" i="1" s="1"/>
  <c r="E122" i="1"/>
  <c r="E138" i="1" s="1"/>
  <c r="B64" i="1"/>
  <c r="B65" i="1"/>
  <c r="B63" i="1"/>
  <c r="B61" i="1" l="1"/>
  <c r="F6" i="1" s="1"/>
  <c r="B23" i="1"/>
  <c r="B116" i="1" s="1"/>
  <c r="F116" i="1" s="1"/>
  <c r="D61" i="1"/>
  <c r="F74" i="1"/>
  <c r="B46" i="1"/>
  <c r="B40" i="1"/>
  <c r="F62" i="1" l="1"/>
  <c r="F52" i="1" s="1"/>
  <c r="F51" i="1" s="1"/>
  <c r="F50" i="1" s="1"/>
  <c r="B138" i="1"/>
  <c r="E116" i="1"/>
  <c r="D116" i="1"/>
  <c r="C116" i="1"/>
  <c r="G116" i="1"/>
  <c r="B140" i="1" l="1"/>
  <c r="B107" i="1" s="1"/>
  <c r="F38" i="1"/>
  <c r="F35" i="1" s="1"/>
  <c r="F44" i="1"/>
  <c r="F41" i="1" s="1"/>
  <c r="F47" i="1"/>
  <c r="F59" i="1"/>
  <c r="F55" i="1" s="1"/>
  <c r="F32" i="1" l="1"/>
  <c r="F28" i="1" s="1"/>
  <c r="B110" i="1"/>
  <c r="B111" i="1"/>
  <c r="B109" i="1"/>
  <c r="B112" i="1"/>
  <c r="B108" i="1"/>
</calcChain>
</file>

<file path=xl/sharedStrings.xml><?xml version="1.0" encoding="utf-8"?>
<sst xmlns="http://schemas.openxmlformats.org/spreadsheetml/2006/main" count="170" uniqueCount="107">
  <si>
    <t xml:space="preserve">Rezept individuell anpassen über die grün gerahmten Felder. </t>
  </si>
  <si>
    <t xml:space="preserve">Datum: An welchem Tag möchte ich backen? </t>
  </si>
  <si>
    <t>TT:MM &gt;&gt;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</si>
  <si>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</si>
  <si>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</si>
  <si>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</si>
  <si>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</si>
  <si>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</si>
  <si>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Weitere Vorstufen</t>
  </si>
  <si>
    <t>Dinkelmehl 630</t>
  </si>
  <si>
    <t>Röstbrot</t>
  </si>
  <si>
    <t>Weizenmehl 550</t>
  </si>
  <si>
    <t>Roggenmehl 997 oder 1150</t>
  </si>
  <si>
    <r>
      <t xml:space="preserve">Brotrezepte individuell anpassen:
</t>
    </r>
    <r>
      <rPr>
        <b/>
        <sz val="14"/>
        <color theme="0"/>
        <rFont val="Tahoma"/>
        <family val="2"/>
      </rPr>
      <t>www.brotfeuer.de</t>
    </r>
  </si>
  <si>
    <t>Dinkelvollkornmehl</t>
  </si>
  <si>
    <t xml:space="preserve">Weizenvollkornmehl </t>
  </si>
  <si>
    <t>Roggenvollkornmehl</t>
  </si>
  <si>
    <t>Mehlsorten in den Vorstufen</t>
  </si>
  <si>
    <t>Dinkel-VK im Brüh-/Kochstück 1c</t>
  </si>
  <si>
    <t>Aktive Zubereitungszeit:</t>
  </si>
  <si>
    <t>Flexible Quell- und Reifezeit:</t>
  </si>
  <si>
    <t>Rezeptgewicht</t>
  </si>
  <si>
    <t>Mehlmenge</t>
  </si>
  <si>
    <t xml:space="preserve"> = </t>
  </si>
  <si>
    <t>Flüssigkeit</t>
  </si>
  <si>
    <t>Gramm</t>
  </si>
  <si>
    <t xml:space="preserve">   °C</t>
  </si>
  <si>
    <t xml:space="preserve">      %</t>
  </si>
  <si>
    <t>Dauer</t>
  </si>
  <si>
    <t>Datum, Startzeit</t>
  </si>
  <si>
    <t>1. Vorstufen und -teige</t>
  </si>
  <si>
    <t>Folgende Zutaten abwiegen und mischen</t>
  </si>
  <si>
    <t>Wasser</t>
  </si>
  <si>
    <t>hh:mm</t>
  </si>
  <si>
    <r>
      <t xml:space="preserve">Roggenvollkornmehl </t>
    </r>
    <r>
      <rPr>
        <sz val="10"/>
        <color theme="2" tint="-0.249977111117893"/>
        <rFont val="Tahoma"/>
        <family val="2"/>
      </rPr>
      <t>(Alternativ: Weizen)</t>
    </r>
  </si>
  <si>
    <t>Sauerteig-Anstellgut TA200</t>
  </si>
  <si>
    <t>Reife</t>
  </si>
  <si>
    <t>1.c Brüh-/Kochstück: Dinkel</t>
  </si>
  <si>
    <t>Folgende Zutaten abwiegen, überbrühen, umrühren</t>
  </si>
  <si>
    <t>Quellzeit</t>
  </si>
  <si>
    <t>Fortsetzung auf der nächsten Seite</t>
  </si>
  <si>
    <t>1.d Brüh-/Kochstück: Röstbrot</t>
  </si>
  <si>
    <t>2. Mischen &amp; Kneten</t>
  </si>
  <si>
    <t>Frischhefe</t>
  </si>
  <si>
    <t>Weizenvollkornmehl</t>
  </si>
  <si>
    <t>Optional bei Dinkel: Acerolapulver</t>
  </si>
  <si>
    <t>Kesselruhe</t>
  </si>
  <si>
    <t>Salz</t>
  </si>
  <si>
    <t>Honig oder Rübenkraut</t>
  </si>
  <si>
    <t>Optional: Bassinage, Wasser ca.</t>
  </si>
  <si>
    <t>Optimale Teigtemperatur</t>
  </si>
  <si>
    <t>4. Stückgare</t>
  </si>
  <si>
    <t>5. Einschießen &amp; Backen</t>
  </si>
  <si>
    <t>Teigling auf Backpapier setzen, Schluss unten</t>
  </si>
  <si>
    <t>Teigling einschneiden und nach Belieben mit Saaten bestreuen</t>
  </si>
  <si>
    <t>Anbacken</t>
  </si>
  <si>
    <t>Energie</t>
  </si>
  <si>
    <t>Kohlehydrate</t>
  </si>
  <si>
    <t>Eiweiß</t>
  </si>
  <si>
    <t>Ballaststoffe</t>
  </si>
  <si>
    <t>Fett</t>
  </si>
  <si>
    <t>Eingaben Rezept</t>
  </si>
  <si>
    <t>Nährwerttabelle</t>
  </si>
  <si>
    <t>Roggenmehl 997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</si>
  <si>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</si>
  <si>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</si>
  <si>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</si>
  <si>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</si>
  <si>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</si>
  <si>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</si>
  <si>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</si>
  <si>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</si>
  <si>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</si>
  <si>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</si>
  <si>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</si>
  <si>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</si>
  <si>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Backverlust</t>
  </si>
  <si>
    <t>Brotgewicht</t>
  </si>
  <si>
    <t>Schwankungsbreite</t>
  </si>
  <si>
    <t>Saaten</t>
  </si>
  <si>
    <t>Info: RoggenVK im Sauerteig Nr. 1.a+1.e</t>
  </si>
  <si>
    <t>31 Stunden</t>
  </si>
  <si>
    <t>1.a Sauerteig Stufe I (1/3/3)</t>
  </si>
  <si>
    <t>1.b Quellstück: Saaten</t>
  </si>
  <si>
    <t>Folgende Zutaten im Wasser quellen lassen</t>
  </si>
  <si>
    <t>(Geschrotete) Leinsaat</t>
  </si>
  <si>
    <t>1.e Sauerteig Stufe II (1/2/2,2)</t>
  </si>
  <si>
    <t>(Geröstetes) Altbrot</t>
  </si>
  <si>
    <t>Mit folgenden Zutaten kneten bis zum Fenstertest</t>
  </si>
  <si>
    <t>Abschließend folgende Zutaten schonend einkneten</t>
  </si>
  <si>
    <t>3. Stockgare bis Volumen + 30%</t>
  </si>
  <si>
    <t>Optional: Nach 30 und 60 Minuten dehnen und falten</t>
  </si>
  <si>
    <t>Teiglinge abstechen, auf Spannung bringen und formen</t>
  </si>
  <si>
    <t>Stückgare im Gärkorb, Schluss oben</t>
  </si>
  <si>
    <t xml:space="preserve">Uhrzeit: Zu welcher Uhrzeit soll das Brot fertig gebacken sein? </t>
  </si>
  <si>
    <t>Backstein oder Topf aufheizen</t>
  </si>
  <si>
    <t>Teigling aus der Kühlung nehmen</t>
  </si>
  <si>
    <t>Beispiel: Bei 800g-Teiglingen dauert die Backzeit ca. 40 Minuten</t>
  </si>
  <si>
    <t>Teigling mit Wasser besprühen, in Backofen schieben und sofort schwaden oder Topf schließen</t>
  </si>
  <si>
    <t>Ausbacken</t>
  </si>
  <si>
    <t>Schwaden nach 10 Minuten ablassen oder Topf-Deckel nach halber Backzeit entfernen</t>
  </si>
  <si>
    <t>Summe muss 100 % sein</t>
  </si>
  <si>
    <t>Stückgare zeitlich flexibel wählbar: 15 - 20 Stunden</t>
  </si>
  <si>
    <t>Fortsetzung auf der nächsten Seite.</t>
  </si>
  <si>
    <t>Zutaten pürieren bis keine Stückchen mehr zu sehen sind</t>
  </si>
  <si>
    <t>Nährwerte je 100g Brot:</t>
  </si>
  <si>
    <r>
      <t xml:space="preserve">Mein Brot Nr. 10 Sauerteig-Abendbrot, kühle Stückgare
</t>
    </r>
    <r>
      <rPr>
        <sz val="10"/>
        <rFont val="Tahoma"/>
        <family val="2"/>
      </rPr>
      <t>Dieses Rezept eignet sich für Brote mit einem Roggenanteil von maximal 50%.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</si>
</sst>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#,##0.0\ &quot;g&quot;"/>
    <numFmt numFmtId="172" formatCode="0\ \k\c\a\l"/>
    <numFmt numFmtId="173" formatCode="0.0\ &quot;g&quot;"/>
    <numFmt numFmtId="174" formatCode="0.00\ &quot;g&quot;"/>
  </numFmts>
  <fonts count="20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b/>
      <sz val="11"/>
      <color theme="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/>
      <top style="medium">
        <color theme="9" tint="-0.24994659260841701"/>
      </top>
      <bottom/>
      <diagonal/>
    </border>
    <border>
      <left style="hair">
        <color theme="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14" fontId="6" fillId="0" borderId="4" xfId="0" applyNumberFormat="1" applyFont="1" applyBorder="1" applyAlignment="1" applyProtection="1">
      <alignment horizontal="left"/>
      <protection locked="0"/>
    </xf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10" fontId="9" fillId="0" borderId="0" xfId="0" applyNumberFormat="1" applyFont="1" applyAlignment="1">
      <alignment vertical="top"/>
    </xf>
    <xf numFmtId="0" fontId="8" fillId="0" borderId="0" xfId="0" applyFont="1"/>
    <xf numFmtId="10" fontId="10" fillId="0" borderId="0" xfId="0" applyNumberFormat="1" applyFont="1" applyAlignment="1">
      <alignment vertical="top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165" fontId="11" fillId="0" borderId="0" xfId="0" applyNumberFormat="1" applyFont="1" applyAlignment="1" applyProtection="1">
      <alignment horizontal="left"/>
      <protection hidden="1"/>
    </xf>
    <xf numFmtId="0" fontId="6" fillId="0" borderId="1" xfId="0" applyFont="1" applyBorder="1" applyProtection="1">
      <protection hidden="1"/>
    </xf>
    <xf numFmtId="166" fontId="5" fillId="0" borderId="1" xfId="0" applyNumberFormat="1" applyFont="1" applyBorder="1" applyProtection="1">
      <protection hidden="1"/>
    </xf>
    <xf numFmtId="1" fontId="6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0" fontId="4" fillId="0" borderId="1" xfId="0" applyFont="1" applyBorder="1" applyProtection="1">
      <protection hidden="1"/>
    </xf>
    <xf numFmtId="10" fontId="5" fillId="0" borderId="1" xfId="0" applyNumberFormat="1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Alignment="1" applyProtection="1">
      <alignment horizontal="right"/>
      <protection hidden="1"/>
    </xf>
    <xf numFmtId="9" fontId="13" fillId="0" borderId="2" xfId="0" applyNumberFormat="1" applyFont="1" applyBorder="1" applyAlignment="1" applyProtection="1">
      <alignment horizontal="right"/>
      <protection hidden="1"/>
    </xf>
    <xf numFmtId="165" fontId="9" fillId="0" borderId="2" xfId="0" applyNumberFormat="1" applyFont="1" applyBorder="1" applyAlignment="1" applyProtection="1">
      <alignment horizontal="center"/>
      <protection hidden="1"/>
    </xf>
    <xf numFmtId="1" fontId="5" fillId="0" borderId="2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165" fontId="11" fillId="3" borderId="3" xfId="0" applyNumberFormat="1" applyFont="1" applyFill="1" applyBorder="1" applyAlignment="1" applyProtection="1">
      <alignment horizontal="center"/>
      <protection hidden="1"/>
    </xf>
    <xf numFmtId="170" fontId="11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4" fillId="3" borderId="1" xfId="0" applyNumberFormat="1" applyFont="1" applyFill="1" applyBorder="1" applyAlignment="1" applyProtection="1">
      <alignment horizontal="right"/>
      <protection hidden="1"/>
    </xf>
    <xf numFmtId="1" fontId="14" fillId="3" borderId="1" xfId="0" applyNumberFormat="1" applyFont="1" applyFill="1" applyBorder="1" applyAlignment="1" applyProtection="1">
      <alignment horizontal="right"/>
      <protection hidden="1"/>
    </xf>
    <xf numFmtId="9" fontId="14" fillId="3" borderId="1" xfId="0" applyNumberFormat="1" applyFont="1" applyFill="1" applyBorder="1" applyAlignment="1" applyProtection="1">
      <alignment horizontal="right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70" fontId="11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3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9" fontId="6" fillId="0" borderId="0" xfId="0" applyNumberFormat="1" applyFont="1" applyProtection="1">
      <protection hidden="1"/>
    </xf>
    <xf numFmtId="171" fontId="5" fillId="0" borderId="1" xfId="0" applyNumberFormat="1" applyFont="1" applyBorder="1" applyAlignment="1" applyProtection="1">
      <alignment horizontal="right"/>
      <protection hidden="1"/>
    </xf>
    <xf numFmtId="167" fontId="13" fillId="0" borderId="1" xfId="0" applyNumberFormat="1" applyFont="1" applyBorder="1" applyAlignment="1" applyProtection="1">
      <alignment horizontal="right"/>
      <protection hidden="1"/>
    </xf>
    <xf numFmtId="9" fontId="15" fillId="0" borderId="1" xfId="0" applyNumberFormat="1" applyFont="1" applyBorder="1" applyProtection="1">
      <protection hidden="1"/>
    </xf>
    <xf numFmtId="169" fontId="15" fillId="0" borderId="1" xfId="0" applyNumberFormat="1" applyFont="1" applyBorder="1" applyAlignment="1" applyProtection="1">
      <alignment horizontal="right"/>
      <protection hidden="1"/>
    </xf>
    <xf numFmtId="168" fontId="15" fillId="0" borderId="1" xfId="0" applyNumberFormat="1" applyFont="1" applyBorder="1" applyProtection="1">
      <protection hidden="1"/>
    </xf>
    <xf numFmtId="0" fontId="15" fillId="0" borderId="0" xfId="0" applyFont="1" applyProtection="1">
      <protection hidden="1"/>
    </xf>
    <xf numFmtId="171" fontId="15" fillId="0" borderId="1" xfId="0" applyNumberFormat="1" applyFont="1" applyBorder="1" applyAlignment="1" applyProtection="1">
      <alignment horizontal="right"/>
      <protection hidden="1"/>
    </xf>
    <xf numFmtId="165" fontId="11" fillId="0" borderId="1" xfId="0" applyNumberFormat="1" applyFont="1" applyBorder="1" applyAlignment="1" applyProtection="1">
      <alignment horizontal="center"/>
      <protection hidden="1"/>
    </xf>
    <xf numFmtId="170" fontId="11" fillId="0" borderId="1" xfId="0" applyNumberFormat="1" applyFont="1" applyBorder="1" applyAlignment="1" applyProtection="1">
      <alignment horizontal="center"/>
      <protection hidden="1"/>
    </xf>
    <xf numFmtId="9" fontId="13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3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3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6" fillId="0" borderId="0" xfId="0" applyFont="1" applyAlignment="1">
      <alignment vertical="center"/>
    </xf>
    <xf numFmtId="170" fontId="5" fillId="0" borderId="2" xfId="0" applyNumberFormat="1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9" fontId="17" fillId="0" borderId="1" xfId="0" applyNumberFormat="1" applyFont="1" applyBorder="1"/>
    <xf numFmtId="9" fontId="17" fillId="0" borderId="0" xfId="0" applyNumberFormat="1" applyFont="1"/>
    <xf numFmtId="165" fontId="5" fillId="0" borderId="3" xfId="0" applyNumberFormat="1" applyFont="1" applyBorder="1" applyAlignment="1" applyProtection="1">
      <alignment horizontal="center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3" fillId="0" borderId="3" xfId="0" applyNumberFormat="1" applyFont="1" applyBorder="1" applyAlignment="1" applyProtection="1">
      <alignment horizontal="right"/>
      <protection hidden="1"/>
    </xf>
    <xf numFmtId="9" fontId="9" fillId="2" borderId="5" xfId="0" applyNumberFormat="1" applyFont="1" applyFill="1" applyBorder="1" applyProtection="1">
      <protection hidden="1"/>
    </xf>
    <xf numFmtId="169" fontId="9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Protection="1">
      <protection hidden="1"/>
    </xf>
    <xf numFmtId="9" fontId="9" fillId="2" borderId="7" xfId="0" applyNumberFormat="1" applyFont="1" applyFill="1" applyBorder="1" applyAlignment="1" applyProtection="1">
      <alignment horizontal="right"/>
      <protection hidden="1"/>
    </xf>
    <xf numFmtId="165" fontId="5" fillId="0" borderId="4" xfId="0" applyNumberFormat="1" applyFont="1" applyBorder="1" applyAlignment="1" applyProtection="1">
      <alignment horizontal="center"/>
      <protection locked="0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5" fillId="0" borderId="1" xfId="0" applyNumberFormat="1" applyFont="1" applyBorder="1" applyAlignment="1" applyProtection="1">
      <alignment horizontal="right"/>
      <protection hidden="1"/>
    </xf>
    <xf numFmtId="165" fontId="15" fillId="0" borderId="1" xfId="0" applyNumberFormat="1" applyFont="1" applyBorder="1" applyAlignment="1" applyProtection="1">
      <alignment horizontal="center"/>
      <protection hidden="1"/>
    </xf>
    <xf numFmtId="170" fontId="15" fillId="0" borderId="1" xfId="0" applyNumberFormat="1" applyFont="1" applyBorder="1" applyAlignment="1" applyProtection="1">
      <alignment horizontal="center"/>
      <protection hidden="1"/>
    </xf>
    <xf numFmtId="0" fontId="18" fillId="0" borderId="0" xfId="0" applyFont="1"/>
    <xf numFmtId="172" fontId="0" fillId="0" borderId="0" xfId="0" applyNumberFormat="1"/>
    <xf numFmtId="173" fontId="0" fillId="0" borderId="0" xfId="0" applyNumberFormat="1"/>
    <xf numFmtId="0" fontId="19" fillId="0" borderId="0" xfId="0" applyFont="1"/>
    <xf numFmtId="173" fontId="18" fillId="0" borderId="0" xfId="0" applyNumberFormat="1" applyFont="1"/>
    <xf numFmtId="0" fontId="18" fillId="0" borderId="9" xfId="0" applyFont="1" applyBorder="1"/>
    <xf numFmtId="174" fontId="0" fillId="0" borderId="10" xfId="0" applyNumberFormat="1" applyBorder="1"/>
    <xf numFmtId="0" fontId="18" fillId="0" borderId="11" xfId="0" applyFont="1" applyBorder="1"/>
    <xf numFmtId="174" fontId="0" fillId="0" borderId="12" xfId="0" applyNumberFormat="1" applyBorder="1"/>
    <xf numFmtId="0" fontId="18" fillId="0" borderId="13" xfId="0" applyFont="1" applyBorder="1"/>
    <xf numFmtId="174" fontId="0" fillId="0" borderId="14" xfId="0" applyNumberFormat="1" applyBorder="1"/>
    <xf numFmtId="174" fontId="0" fillId="0" borderId="0" xfId="0" applyNumberFormat="1"/>
    <xf numFmtId="9" fontId="0" fillId="0" borderId="0" xfId="0" applyNumberFormat="1"/>
    <xf numFmtId="9" fontId="11" fillId="0" borderId="1" xfId="0" applyNumberFormat="1" applyFont="1" applyBorder="1" applyProtection="1">
      <protection hidden="1"/>
    </xf>
    <xf numFmtId="169" fontId="11" fillId="0" borderId="1" xfId="0" applyNumberFormat="1" applyFont="1" applyBorder="1" applyAlignment="1" applyProtection="1">
      <alignment horizontal="right"/>
      <protection hidden="1"/>
    </xf>
    <xf numFmtId="168" fontId="11" fillId="0" borderId="1" xfId="0" applyNumberFormat="1" applyFont="1" applyBorder="1" applyProtection="1">
      <protection hidden="1"/>
    </xf>
    <xf numFmtId="9" fontId="11" fillId="0" borderId="1" xfId="0" applyNumberFormat="1" applyFont="1" applyBorder="1" applyAlignment="1" applyProtection="1">
      <alignment horizontal="right"/>
      <protection hidden="1"/>
    </xf>
    <xf numFmtId="0" fontId="11" fillId="0" borderId="1" xfId="0" applyFont="1" applyBorder="1" applyProtection="1">
      <protection hidden="1"/>
    </xf>
    <xf numFmtId="167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 applyProtection="1">
      <protection hidden="1"/>
    </xf>
    <xf numFmtId="9" fontId="15" fillId="0" borderId="1" xfId="0" applyNumberFormat="1" applyFont="1" applyBorder="1" applyAlignment="1" applyProtection="1">
      <alignment horizontal="right"/>
      <protection hidden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right"/>
    </xf>
    <xf numFmtId="9" fontId="17" fillId="0" borderId="8" xfId="0" applyNumberFormat="1" applyFont="1" applyBorder="1" applyAlignment="1">
      <alignment vertical="center" wrapText="1"/>
    </xf>
    <xf numFmtId="9" fontId="17" fillId="0" borderId="0" xfId="0" applyNumberFormat="1" applyFont="1" applyAlignment="1">
      <alignment vertical="center"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0" fontId="15" fillId="0" borderId="1" xfId="0" applyFont="1" applyBorder="1" applyProtection="1">
      <protection hidden="1"/>
    </xf>
    <xf numFmtId="9" fontId="5" fillId="0" borderId="0" xfId="0" applyNumberFormat="1" applyFont="1" applyProtection="1">
      <protection hidden="1"/>
    </xf>
    <xf numFmtId="168" fontId="5" fillId="0" borderId="0" xfId="0" applyNumberFormat="1" applyFont="1" applyProtection="1">
      <protection hidden="1"/>
    </xf>
    <xf numFmtId="167" fontId="5" fillId="0" borderId="0" xfId="0" applyNumberFormat="1" applyFont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0" fontId="6" fillId="3" borderId="2" xfId="0" applyFont="1" applyFill="1" applyBorder="1"/>
    <xf numFmtId="9" fontId="5" fillId="3" borderId="15" xfId="0" applyNumberFormat="1" applyFont="1" applyFill="1" applyBorder="1" applyAlignment="1" applyProtection="1">
      <alignment horizontal="right"/>
      <protection hidden="1"/>
    </xf>
    <xf numFmtId="0" fontId="2" fillId="2" borderId="5" xfId="0" applyFont="1" applyFill="1" applyBorder="1"/>
    <xf numFmtId="9" fontId="2" fillId="2" borderId="16" xfId="0" applyNumberFormat="1" applyFont="1" applyFill="1" applyBorder="1"/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15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43"/>
  <sheetViews>
    <sheetView tabSelected="1" zoomScale="135" zoomScaleNormal="135" workbookViewId="0">
      <selection activeCell="F3" sqref="F3"/>
    </sheetView>
  </sheetViews>
  <sheetFormatPr baseColWidth="10" defaultColWidth="10.81640625" defaultRowHeight="12.5" x14ac:dyDescent="0.25"/>
  <cols>
    <col min="1" max="1" width="33.7265625" style="5" customWidth="1"/>
    <col min="2" max="5" width="8.7265625" style="5" customWidth="1"/>
    <col min="6" max="6" width="16.54296875" style="5" customWidth="1"/>
    <col min="7" max="16384" width="10.81640625" style="5"/>
  </cols>
  <sheetData>
    <row r="1" spans="1:11" s="4" customFormat="1" ht="32.15" customHeight="1" thickBot="1" x14ac:dyDescent="0.3">
      <c r="A1" s="141" t="s">
        <v>106</v>
      </c>
      <c r="B1" s="142"/>
      <c r="C1" s="142"/>
      <c r="D1" s="142"/>
      <c r="E1" s="142"/>
      <c r="F1" s="142"/>
      <c r="K1" s="5"/>
    </row>
    <row r="2" spans="1:11" ht="13" thickBot="1" x14ac:dyDescent="0.3">
      <c r="A2" s="145" t="s">
        <v>0</v>
      </c>
      <c r="B2" s="146"/>
      <c r="C2" s="146"/>
      <c r="D2" s="146"/>
      <c r="E2" s="146"/>
      <c r="F2" s="147"/>
    </row>
    <row r="3" spans="1:11" ht="13" thickBot="1" x14ac:dyDescent="0.3">
      <c r="A3" s="6" t="s">
        <v>1</v>
      </c>
      <c r="B3" s="6"/>
      <c r="C3" s="6"/>
      <c r="D3" s="143" t="s">
        <v>2</v>
      </c>
      <c r="E3" s="143"/>
      <c r="F3" s="7">
        <v>45922</v>
      </c>
    </row>
    <row r="4" spans="1:11" ht="13" thickBot="1" x14ac:dyDescent="0.3">
      <c r="A4" s="8" t="s">
        <v>94</v>
      </c>
      <c r="B4" s="8"/>
      <c r="C4" s="8"/>
      <c r="D4" s="144" t="s">
        <v>3</v>
      </c>
      <c r="E4" s="144"/>
      <c r="F4" s="9">
        <v>0.75</v>
      </c>
    </row>
    <row r="5" spans="1:11" ht="13" thickBot="1" x14ac:dyDescent="0.3">
      <c r="A5" s="8" t="s">
        <v>4</v>
      </c>
      <c r="B5" s="8"/>
      <c r="C5" s="8"/>
      <c r="D5" s="125"/>
      <c r="E5" s="125" t="s">
        <v>5</v>
      </c>
      <c r="F5" s="10">
        <v>500</v>
      </c>
    </row>
    <row r="6" spans="1:11" s="84" customFormat="1" ht="33" customHeight="1" thickBot="1" x14ac:dyDescent="0.4">
      <c r="A6" s="1"/>
      <c r="B6" s="1"/>
      <c r="C6" s="1"/>
      <c r="D6" s="1"/>
      <c r="E6" s="2" t="s">
        <v>6</v>
      </c>
      <c r="F6" s="3">
        <f>ROUNDDOWN(B61*87%,-1)</f>
        <v>840</v>
      </c>
    </row>
    <row r="7" spans="1:11" ht="13" thickBot="1" x14ac:dyDescent="0.3">
      <c r="A7" s="145" t="s">
        <v>7</v>
      </c>
      <c r="B7" s="147"/>
      <c r="C7" s="11"/>
      <c r="D7" s="145" t="s">
        <v>8</v>
      </c>
      <c r="E7" s="146"/>
      <c r="F7" s="147"/>
    </row>
    <row r="8" spans="1:11" ht="13" thickBot="1" x14ac:dyDescent="0.3">
      <c r="A8" s="6" t="s">
        <v>9</v>
      </c>
      <c r="B8" s="12">
        <v>0.23</v>
      </c>
      <c r="C8" s="11"/>
      <c r="D8" s="8" t="s">
        <v>10</v>
      </c>
      <c r="E8" s="88" t="str">
        <f>IF(F8&lt;10.01%," ","max.10%")</f>
        <v xml:space="preserve"> </v>
      </c>
      <c r="F8" s="12">
        <v>0.05</v>
      </c>
    </row>
    <row r="9" spans="1:11" ht="13" thickBot="1" x14ac:dyDescent="0.3">
      <c r="A9" s="8" t="s">
        <v>11</v>
      </c>
      <c r="B9" s="12">
        <v>0.26</v>
      </c>
      <c r="C9" s="11"/>
      <c r="D9" s="5" t="s">
        <v>79</v>
      </c>
      <c r="E9" s="88" t="str">
        <f>IF(F9&lt;20.01%," ","max.20%")</f>
        <v xml:space="preserve"> </v>
      </c>
      <c r="F9" s="12">
        <v>0.03</v>
      </c>
    </row>
    <row r="10" spans="1:11" ht="13" thickBot="1" x14ac:dyDescent="0.3">
      <c r="A10" s="8" t="s">
        <v>12</v>
      </c>
      <c r="B10" s="12">
        <v>0</v>
      </c>
      <c r="C10" s="11"/>
      <c r="D10" s="139" t="s">
        <v>13</v>
      </c>
      <c r="E10" s="139"/>
      <c r="F10" s="139"/>
    </row>
    <row r="11" spans="1:11" ht="13" thickBot="1" x14ac:dyDescent="0.3">
      <c r="A11" s="36" t="s">
        <v>14</v>
      </c>
      <c r="B11" s="99">
        <v>0</v>
      </c>
      <c r="C11" s="11"/>
      <c r="D11" s="139"/>
      <c r="E11" s="139"/>
      <c r="F11" s="139"/>
    </row>
    <row r="12" spans="1:11" ht="13" customHeight="1" thickBot="1" x14ac:dyDescent="0.3">
      <c r="A12" s="36" t="s">
        <v>15</v>
      </c>
      <c r="B12" s="99">
        <v>0.19700000000000001</v>
      </c>
      <c r="C12" s="11"/>
      <c r="D12" s="139"/>
      <c r="E12" s="139"/>
      <c r="F12" s="139"/>
    </row>
    <row r="13" spans="1:11" ht="13" thickBot="1" x14ac:dyDescent="0.3">
      <c r="A13" s="36" t="s">
        <v>16</v>
      </c>
      <c r="B13" s="99">
        <v>0</v>
      </c>
      <c r="C13" s="11"/>
      <c r="D13" s="11"/>
      <c r="E13" s="11"/>
      <c r="F13" s="11"/>
    </row>
    <row r="14" spans="1:11" ht="13" thickBot="1" x14ac:dyDescent="0.3">
      <c r="A14" s="145" t="s">
        <v>17</v>
      </c>
      <c r="B14" s="147"/>
      <c r="C14" s="11"/>
      <c r="D14" s="11"/>
      <c r="E14" s="11"/>
      <c r="F14" s="11"/>
    </row>
    <row r="15" spans="1:11" ht="13" thickBot="1" x14ac:dyDescent="0.3">
      <c r="A15" s="36" t="s">
        <v>18</v>
      </c>
      <c r="B15" s="99">
        <v>0.05</v>
      </c>
      <c r="C15" s="126"/>
      <c r="D15" s="127"/>
      <c r="E15" s="127"/>
      <c r="F15" s="127"/>
    </row>
    <row r="16" spans="1:11" ht="13" thickBot="1" x14ac:dyDescent="0.3">
      <c r="A16" s="135" t="s">
        <v>80</v>
      </c>
      <c r="B16" s="136">
        <f>D30+D57+D31/2</f>
        <v>0.2646</v>
      </c>
      <c r="C16" s="127"/>
      <c r="D16" s="127"/>
      <c r="E16" s="127"/>
      <c r="F16" s="127"/>
    </row>
    <row r="17" spans="1:7" ht="13" thickBot="1" x14ac:dyDescent="0.3">
      <c r="A17" s="137" t="s">
        <v>101</v>
      </c>
      <c r="B17" s="138">
        <f>SUM(B8:B16)</f>
        <v>1.0016</v>
      </c>
      <c r="C17" s="89"/>
      <c r="D17" s="14"/>
      <c r="E17" s="14"/>
      <c r="F17" s="15"/>
    </row>
    <row r="18" spans="1:7" x14ac:dyDescent="0.25">
      <c r="A18" s="16"/>
      <c r="C18" s="11"/>
      <c r="F18" s="13"/>
    </row>
    <row r="19" spans="1:7" s="16" customFormat="1" x14ac:dyDescent="0.25">
      <c r="C19" s="17" t="s">
        <v>19</v>
      </c>
      <c r="F19" s="18">
        <f>E28+E35+E41+E47+E55+E62+E75+E78+E87+E93+E51</f>
        <v>5.2083333333333343E-2</v>
      </c>
    </row>
    <row r="20" spans="1:7" s="16" customFormat="1" x14ac:dyDescent="0.25">
      <c r="C20" s="16" t="s">
        <v>20</v>
      </c>
      <c r="F20" s="87" t="s">
        <v>81</v>
      </c>
    </row>
    <row r="21" spans="1:7" s="16" customFormat="1" x14ac:dyDescent="0.25"/>
    <row r="22" spans="1:7" s="16" customFormat="1" x14ac:dyDescent="0.25">
      <c r="A22" s="19" t="s">
        <v>22</v>
      </c>
      <c r="B22" s="20">
        <f>ROUNDUP(B30+B43+B57+B66+B67+B68+B69+B70+B71,-1)</f>
        <v>500</v>
      </c>
      <c r="C22" s="21" t="s">
        <v>23</v>
      </c>
      <c r="D22" s="22">
        <f>D30+D43+D57+D66+D67+D68+D69+D70+D71+D31/2</f>
        <v>1.0015999999999998</v>
      </c>
      <c r="E22" s="23"/>
      <c r="F22" s="24"/>
    </row>
    <row r="23" spans="1:7" s="16" customFormat="1" x14ac:dyDescent="0.25">
      <c r="A23" s="19" t="s">
        <v>24</v>
      </c>
      <c r="B23" s="20">
        <f>B29+B31+B36+B42+B48+B56+B63</f>
        <v>415.8</v>
      </c>
      <c r="C23" s="21" t="s">
        <v>23</v>
      </c>
      <c r="D23" s="22">
        <f>D29+D36+D42+D48+D56+D63+D31/2</f>
        <v>0.83643000000000001</v>
      </c>
      <c r="E23" s="20"/>
      <c r="F23" s="25"/>
      <c r="G23" s="54"/>
    </row>
    <row r="24" spans="1:7" s="16" customFormat="1" x14ac:dyDescent="0.25">
      <c r="B24" s="26"/>
      <c r="C24" s="27"/>
      <c r="D24" s="28"/>
      <c r="E24" s="29"/>
      <c r="F24" s="30"/>
    </row>
    <row r="25" spans="1:7" s="31" customFormat="1" x14ac:dyDescent="0.35">
      <c r="B25" s="32" t="s">
        <v>25</v>
      </c>
      <c r="C25" s="33" t="s">
        <v>26</v>
      </c>
      <c r="D25" s="34" t="s">
        <v>27</v>
      </c>
      <c r="E25" s="35" t="s">
        <v>28</v>
      </c>
      <c r="F25" s="35" t="s">
        <v>29</v>
      </c>
    </row>
    <row r="26" spans="1:7" s="42" customFormat="1" x14ac:dyDescent="0.25">
      <c r="A26" s="36" t="s">
        <v>30</v>
      </c>
      <c r="B26" s="37"/>
      <c r="C26" s="38"/>
      <c r="D26" s="39"/>
      <c r="E26" s="40"/>
      <c r="F26" s="41"/>
    </row>
    <row r="27" spans="1:7" s="16" customFormat="1" x14ac:dyDescent="0.25">
      <c r="A27" s="36" t="s">
        <v>82</v>
      </c>
      <c r="B27" s="43">
        <f>SUM(B29:B31)</f>
        <v>49</v>
      </c>
      <c r="C27" s="44">
        <v>21</v>
      </c>
      <c r="D27" s="45">
        <f>SUM(D29:D31)</f>
        <v>9.8000000000000004E-2</v>
      </c>
      <c r="E27" s="46"/>
      <c r="F27" s="47"/>
    </row>
    <row r="28" spans="1:7" s="17" customFormat="1" x14ac:dyDescent="0.25">
      <c r="A28" s="116" t="s">
        <v>31</v>
      </c>
      <c r="B28" s="117"/>
      <c r="C28" s="118"/>
      <c r="D28" s="119"/>
      <c r="E28" s="70">
        <v>3.472222222222222E-3</v>
      </c>
      <c r="F28" s="71">
        <f>F32-E28</f>
        <v>45921.354166666679</v>
      </c>
    </row>
    <row r="29" spans="1:7" s="16" customFormat="1" x14ac:dyDescent="0.25">
      <c r="A29" s="48" t="s">
        <v>32</v>
      </c>
      <c r="B29" s="49">
        <f t="shared" ref="B29:B31" si="0">D29*F$5</f>
        <v>21</v>
      </c>
      <c r="C29" s="50">
        <v>45</v>
      </c>
      <c r="D29" s="51">
        <f>D30</f>
        <v>4.2000000000000003E-2</v>
      </c>
      <c r="E29" s="52"/>
      <c r="F29" s="53"/>
    </row>
    <row r="30" spans="1:7" s="16" customFormat="1" x14ac:dyDescent="0.25">
      <c r="A30" s="48" t="s">
        <v>16</v>
      </c>
      <c r="B30" s="49">
        <f t="shared" si="0"/>
        <v>21</v>
      </c>
      <c r="C30" s="50"/>
      <c r="D30" s="51">
        <f>D31*3</f>
        <v>4.2000000000000003E-2</v>
      </c>
      <c r="E30" s="52"/>
      <c r="F30" s="53"/>
    </row>
    <row r="31" spans="1:7" s="16" customFormat="1" x14ac:dyDescent="0.25">
      <c r="A31" s="48" t="s">
        <v>35</v>
      </c>
      <c r="B31" s="63">
        <f t="shared" si="0"/>
        <v>7</v>
      </c>
      <c r="C31" s="50">
        <v>5</v>
      </c>
      <c r="D31" s="64">
        <v>1.4E-2</v>
      </c>
      <c r="E31" s="52"/>
      <c r="F31" s="53"/>
    </row>
    <row r="32" spans="1:7" s="16" customFormat="1" x14ac:dyDescent="0.25">
      <c r="A32" s="48" t="s">
        <v>36</v>
      </c>
      <c r="B32" s="63"/>
      <c r="C32" s="50">
        <v>21</v>
      </c>
      <c r="D32" s="64"/>
      <c r="E32" s="52">
        <v>0.25</v>
      </c>
      <c r="F32" s="53">
        <f>F55-E32</f>
        <v>45921.357638888898</v>
      </c>
    </row>
    <row r="33" spans="1:6" s="16" customFormat="1" x14ac:dyDescent="0.25">
      <c r="A33" s="56"/>
      <c r="B33" s="91"/>
      <c r="C33" s="92"/>
      <c r="D33" s="93"/>
      <c r="E33" s="90"/>
      <c r="F33" s="53"/>
    </row>
    <row r="34" spans="1:6" s="16" customFormat="1" x14ac:dyDescent="0.25">
      <c r="A34" s="36" t="s">
        <v>83</v>
      </c>
      <c r="B34" s="43">
        <f>SUM(B36:B37)</f>
        <v>45</v>
      </c>
      <c r="C34" s="44">
        <v>21</v>
      </c>
      <c r="D34" s="45">
        <f>SUM(D36:D37)</f>
        <v>0.09</v>
      </c>
      <c r="E34" s="46"/>
      <c r="F34" s="47"/>
    </row>
    <row r="35" spans="1:6" s="17" customFormat="1" x14ac:dyDescent="0.25">
      <c r="A35" s="116" t="s">
        <v>84</v>
      </c>
      <c r="B35" s="117"/>
      <c r="C35" s="118"/>
      <c r="D35" s="119"/>
      <c r="E35" s="70">
        <v>3.472222222222222E-3</v>
      </c>
      <c r="F35" s="71">
        <f>F38-E35</f>
        <v>45921.357638888898</v>
      </c>
    </row>
    <row r="36" spans="1:6" s="16" customFormat="1" x14ac:dyDescent="0.25">
      <c r="A36" s="48" t="s">
        <v>32</v>
      </c>
      <c r="B36" s="49">
        <f t="shared" ref="B36:B37" si="1">D36*F$5</f>
        <v>30</v>
      </c>
      <c r="C36" s="50">
        <v>16</v>
      </c>
      <c r="D36" s="51">
        <f>D37*2</f>
        <v>0.06</v>
      </c>
      <c r="E36" s="52"/>
      <c r="F36" s="53"/>
    </row>
    <row r="37" spans="1:6" s="16" customFormat="1" x14ac:dyDescent="0.25">
      <c r="A37" s="48" t="s">
        <v>85</v>
      </c>
      <c r="B37" s="49">
        <f t="shared" si="1"/>
        <v>15</v>
      </c>
      <c r="C37" s="50"/>
      <c r="D37" s="51">
        <f>F9</f>
        <v>0.03</v>
      </c>
      <c r="E37" s="52"/>
      <c r="F37" s="53"/>
    </row>
    <row r="38" spans="1:6" s="16" customFormat="1" x14ac:dyDescent="0.25">
      <c r="A38" s="48" t="s">
        <v>39</v>
      </c>
      <c r="B38" s="49"/>
      <c r="C38" s="50">
        <v>21</v>
      </c>
      <c r="D38" s="51"/>
      <c r="E38" s="52">
        <v>0.41666666666666669</v>
      </c>
      <c r="F38" s="53">
        <f>F$62-E38</f>
        <v>45921.361111111117</v>
      </c>
    </row>
    <row r="39" spans="1:6" s="16" customFormat="1" x14ac:dyDescent="0.25">
      <c r="A39" s="48"/>
      <c r="B39" s="49"/>
      <c r="C39" s="50"/>
      <c r="D39" s="51"/>
      <c r="E39" s="52"/>
      <c r="F39" s="53"/>
    </row>
    <row r="40" spans="1:6" s="16" customFormat="1" x14ac:dyDescent="0.25">
      <c r="A40" s="36" t="s">
        <v>37</v>
      </c>
      <c r="B40" s="43">
        <f>SUM(B42:B43)</f>
        <v>80</v>
      </c>
      <c r="C40" s="44"/>
      <c r="D40" s="45">
        <f>SUM(D42:D44)</f>
        <v>0.16000000000000003</v>
      </c>
      <c r="E40" s="46"/>
      <c r="F40" s="47"/>
    </row>
    <row r="41" spans="1:6" s="17" customFormat="1" x14ac:dyDescent="0.25">
      <c r="A41" s="116" t="s">
        <v>38</v>
      </c>
      <c r="B41" s="117"/>
      <c r="C41" s="118"/>
      <c r="D41" s="119"/>
      <c r="E41" s="70">
        <v>6.9444444444444441E-3</v>
      </c>
      <c r="F41" s="71">
        <f>F44-E41</f>
        <v>45921.361111111117</v>
      </c>
    </row>
    <row r="42" spans="1:6" s="16" customFormat="1" x14ac:dyDescent="0.25">
      <c r="A42" s="48" t="s">
        <v>32</v>
      </c>
      <c r="B42" s="49">
        <f>D42*F$5</f>
        <v>55.000000000000007</v>
      </c>
      <c r="C42" s="50">
        <v>100</v>
      </c>
      <c r="D42" s="51">
        <f>D43*2.2</f>
        <v>0.11000000000000001</v>
      </c>
      <c r="E42" s="52"/>
      <c r="F42" s="53"/>
    </row>
    <row r="43" spans="1:6" s="16" customFormat="1" x14ac:dyDescent="0.25">
      <c r="A43" s="48" t="s">
        <v>14</v>
      </c>
      <c r="B43" s="49">
        <f>D43*F$5</f>
        <v>25</v>
      </c>
      <c r="C43" s="50"/>
      <c r="D43" s="51">
        <f>B15</f>
        <v>0.05</v>
      </c>
      <c r="E43" s="52"/>
      <c r="F43" s="53"/>
    </row>
    <row r="44" spans="1:6" s="16" customFormat="1" x14ac:dyDescent="0.25">
      <c r="A44" s="48" t="s">
        <v>39</v>
      </c>
      <c r="B44" s="49"/>
      <c r="C44" s="50">
        <v>21</v>
      </c>
      <c r="D44" s="51"/>
      <c r="E44" s="52">
        <f>E38-E41</f>
        <v>0.40972222222222227</v>
      </c>
      <c r="F44" s="53">
        <f>F$62-E44</f>
        <v>45921.368055555562</v>
      </c>
    </row>
    <row r="45" spans="1:6" s="16" customFormat="1" x14ac:dyDescent="0.25">
      <c r="B45" s="26"/>
      <c r="C45" s="27"/>
      <c r="D45" s="28"/>
      <c r="E45" s="55"/>
      <c r="F45" s="85" t="s">
        <v>40</v>
      </c>
    </row>
    <row r="46" spans="1:6" s="16" customFormat="1" x14ac:dyDescent="0.25">
      <c r="A46" s="36" t="s">
        <v>41</v>
      </c>
      <c r="B46" s="43">
        <f>SUM(B48:B50)</f>
        <v>100.00000000000001</v>
      </c>
      <c r="C46" s="44"/>
      <c r="D46" s="45">
        <f>SUM(D48:D50)</f>
        <v>0.2</v>
      </c>
      <c r="E46" s="46"/>
      <c r="F46" s="47"/>
    </row>
    <row r="47" spans="1:6" s="17" customFormat="1" x14ac:dyDescent="0.25">
      <c r="A47" s="116" t="s">
        <v>38</v>
      </c>
      <c r="B47" s="117"/>
      <c r="C47" s="118"/>
      <c r="D47" s="119"/>
      <c r="E47" s="70">
        <v>3.472222222222222E-3</v>
      </c>
      <c r="F47" s="71">
        <f>F50-E47</f>
        <v>45921.368055555562</v>
      </c>
    </row>
    <row r="48" spans="1:6" s="25" customFormat="1" x14ac:dyDescent="0.25">
      <c r="A48" s="48" t="s">
        <v>32</v>
      </c>
      <c r="B48" s="49">
        <f>D48*F$5</f>
        <v>75.000000000000014</v>
      </c>
      <c r="C48" s="50">
        <v>100</v>
      </c>
      <c r="D48" s="51">
        <f>D49*3</f>
        <v>0.15000000000000002</v>
      </c>
      <c r="E48" s="52"/>
      <c r="F48" s="53"/>
    </row>
    <row r="49" spans="1:8" s="16" customFormat="1" x14ac:dyDescent="0.25">
      <c r="A49" s="48" t="s">
        <v>87</v>
      </c>
      <c r="B49" s="49">
        <f>D49*F$5</f>
        <v>25</v>
      </c>
      <c r="C49" s="50"/>
      <c r="D49" s="51">
        <f>F8</f>
        <v>0.05</v>
      </c>
      <c r="E49" s="52"/>
      <c r="F49" s="53"/>
    </row>
    <row r="50" spans="1:8" s="16" customFormat="1" x14ac:dyDescent="0.25">
      <c r="A50" s="58" t="s">
        <v>39</v>
      </c>
      <c r="B50" s="49"/>
      <c r="C50" s="50">
        <v>21</v>
      </c>
      <c r="D50" s="51"/>
      <c r="E50" s="52">
        <v>0.22916666666666666</v>
      </c>
      <c r="F50" s="53">
        <f>F51-E50</f>
        <v>45921.371527777781</v>
      </c>
    </row>
    <row r="51" spans="1:8" s="17" customFormat="1" x14ac:dyDescent="0.25">
      <c r="A51" s="116" t="s">
        <v>104</v>
      </c>
      <c r="B51" s="117"/>
      <c r="C51" s="118"/>
      <c r="D51" s="119"/>
      <c r="E51" s="70">
        <v>6.9444444444444441E-3</v>
      </c>
      <c r="F51" s="71">
        <f>F52-E51</f>
        <v>45921.600694444445</v>
      </c>
    </row>
    <row r="52" spans="1:8" s="16" customFormat="1" x14ac:dyDescent="0.25">
      <c r="A52" s="58" t="s">
        <v>39</v>
      </c>
      <c r="B52" s="49"/>
      <c r="C52" s="50">
        <v>21</v>
      </c>
      <c r="D52" s="51"/>
      <c r="E52" s="52">
        <f>E44-E47-E50-E51</f>
        <v>0.17013888888888895</v>
      </c>
      <c r="F52" s="53">
        <f>F62-E52</f>
        <v>45921.607638888891</v>
      </c>
    </row>
    <row r="53" spans="1:8" s="16" customFormat="1" x14ac:dyDescent="0.25">
      <c r="A53" s="58"/>
      <c r="B53" s="49"/>
      <c r="C53" s="50"/>
      <c r="D53" s="51"/>
      <c r="E53" s="52"/>
      <c r="F53" s="134" t="s">
        <v>103</v>
      </c>
    </row>
    <row r="54" spans="1:8" s="16" customFormat="1" x14ac:dyDescent="0.25">
      <c r="A54" s="36" t="s">
        <v>86</v>
      </c>
      <c r="B54" s="43">
        <f>SUM(B56:B58)</f>
        <v>264.60000000000002</v>
      </c>
      <c r="C54" s="44">
        <v>21</v>
      </c>
      <c r="D54" s="45">
        <f>SUM(D56:D58)</f>
        <v>0.5292</v>
      </c>
      <c r="E54" s="46"/>
      <c r="F54" s="47"/>
    </row>
    <row r="55" spans="1:8" s="17" customFormat="1" x14ac:dyDescent="0.25">
      <c r="A55" s="116" t="s">
        <v>31</v>
      </c>
      <c r="B55" s="117"/>
      <c r="C55" s="118"/>
      <c r="D55" s="119"/>
      <c r="E55" s="70">
        <v>3.472222222222222E-3</v>
      </c>
      <c r="F55" s="71">
        <f>F59-E55</f>
        <v>45921.607638888898</v>
      </c>
    </row>
    <row r="56" spans="1:8" s="16" customFormat="1" x14ac:dyDescent="0.25">
      <c r="A56" s="48" t="s">
        <v>32</v>
      </c>
      <c r="B56" s="49">
        <f t="shared" ref="B56:B58" si="2">D56*F$5</f>
        <v>107.80000000000001</v>
      </c>
      <c r="C56" s="50">
        <v>45</v>
      </c>
      <c r="D56" s="51">
        <f>D58*2.2</f>
        <v>0.21560000000000001</v>
      </c>
      <c r="E56" s="52"/>
      <c r="F56" s="53"/>
    </row>
    <row r="57" spans="1:8" s="16" customFormat="1" x14ac:dyDescent="0.25">
      <c r="A57" s="48" t="s">
        <v>34</v>
      </c>
      <c r="B57" s="49">
        <f t="shared" si="2"/>
        <v>107.80000000000001</v>
      </c>
      <c r="C57" s="50"/>
      <c r="D57" s="51">
        <f>D58*2.2</f>
        <v>0.21560000000000001</v>
      </c>
      <c r="E57" s="52"/>
      <c r="F57" s="53"/>
    </row>
    <row r="58" spans="1:8" s="16" customFormat="1" x14ac:dyDescent="0.25">
      <c r="A58" s="48" t="str">
        <f>A27</f>
        <v>1.a Sauerteig Stufe I (1/3/3)</v>
      </c>
      <c r="B58" s="49">
        <f t="shared" si="2"/>
        <v>49</v>
      </c>
      <c r="C58" s="50"/>
      <c r="D58" s="51">
        <f>D27</f>
        <v>9.8000000000000004E-2</v>
      </c>
      <c r="E58" s="52"/>
      <c r="F58" s="53"/>
    </row>
    <row r="59" spans="1:8" s="16" customFormat="1" x14ac:dyDescent="0.25">
      <c r="A59" s="48" t="s">
        <v>36</v>
      </c>
      <c r="B59" s="49"/>
      <c r="C59" s="50">
        <v>26</v>
      </c>
      <c r="D59" s="51"/>
      <c r="E59" s="52">
        <v>0.16666666666666666</v>
      </c>
      <c r="F59" s="53">
        <f>F$62-E59</f>
        <v>45921.611111111117</v>
      </c>
    </row>
    <row r="60" spans="1:8" s="68" customFormat="1" x14ac:dyDescent="0.25">
      <c r="A60" s="65"/>
      <c r="B60" s="66"/>
      <c r="C60" s="67"/>
      <c r="D60" s="123"/>
      <c r="E60" s="101"/>
      <c r="F60" s="102"/>
    </row>
    <row r="61" spans="1:8" s="42" customFormat="1" x14ac:dyDescent="0.25">
      <c r="A61" s="36" t="s">
        <v>42</v>
      </c>
      <c r="B61" s="59">
        <f>SUM(B63:B79)-B73</f>
        <v>967.1</v>
      </c>
      <c r="C61" s="60"/>
      <c r="D61" s="61">
        <f>SUM(D63:D74)</f>
        <v>1.83003</v>
      </c>
      <c r="E61" s="46"/>
      <c r="F61" s="47"/>
    </row>
    <row r="62" spans="1:8" s="17" customFormat="1" x14ac:dyDescent="0.25">
      <c r="A62" s="116" t="s">
        <v>31</v>
      </c>
      <c r="B62" s="117"/>
      <c r="C62" s="118"/>
      <c r="D62" s="119"/>
      <c r="E62" s="70">
        <v>6.9444444444444441E-3</v>
      </c>
      <c r="F62" s="71">
        <f>F74-E62</f>
        <v>45921.777777777781</v>
      </c>
    </row>
    <row r="63" spans="1:8" s="16" customFormat="1" x14ac:dyDescent="0.25">
      <c r="A63" s="56" t="s">
        <v>32</v>
      </c>
      <c r="B63" s="49">
        <f>ROUNDDOWN((D63*F$5),-1)</f>
        <v>120</v>
      </c>
      <c r="C63" s="50">
        <v>16</v>
      </c>
      <c r="D63" s="51">
        <f>B8*60%+B9*65%+B10*70%+(B11+B15)*70%+B12*75%+(B13+B16)*80%-D29-(D36+D42+D48)*60%-D56</f>
        <v>0.25182999999999989</v>
      </c>
      <c r="E63" s="52"/>
      <c r="F63" s="53"/>
    </row>
    <row r="64" spans="1:8" s="16" customFormat="1" x14ac:dyDescent="0.25">
      <c r="A64" s="56" t="str">
        <f>A40</f>
        <v>1.c Brüh-/Kochstück: Dinkel</v>
      </c>
      <c r="B64" s="49">
        <f t="shared" ref="B64:B80" si="3">D64*F$5</f>
        <v>80.000000000000014</v>
      </c>
      <c r="C64" s="50">
        <v>21</v>
      </c>
      <c r="D64" s="51">
        <f>D40</f>
        <v>0.16000000000000003</v>
      </c>
      <c r="E64" s="52"/>
      <c r="F64" s="53"/>
      <c r="H64" s="62"/>
    </row>
    <row r="65" spans="1:6" s="16" customFormat="1" x14ac:dyDescent="0.25">
      <c r="A65" s="56" t="str">
        <f>A46</f>
        <v>1.d Brüh-/Kochstück: Röstbrot</v>
      </c>
      <c r="B65" s="49">
        <f>D65*F$5</f>
        <v>100</v>
      </c>
      <c r="C65" s="50">
        <v>21</v>
      </c>
      <c r="D65" s="51">
        <f>D46</f>
        <v>0.2</v>
      </c>
      <c r="E65" s="52"/>
      <c r="F65" s="53"/>
    </row>
    <row r="66" spans="1:6" s="16" customFormat="1" x14ac:dyDescent="0.25">
      <c r="A66" s="48" t="s">
        <v>9</v>
      </c>
      <c r="B66" s="49">
        <f t="shared" si="3"/>
        <v>115</v>
      </c>
      <c r="C66" s="50"/>
      <c r="D66" s="51">
        <f t="shared" ref="D66:D71" si="4">B8</f>
        <v>0.23</v>
      </c>
      <c r="E66" s="52"/>
      <c r="F66" s="53"/>
    </row>
    <row r="67" spans="1:6" s="16" customFormat="1" x14ac:dyDescent="0.25">
      <c r="A67" s="48" t="s">
        <v>11</v>
      </c>
      <c r="B67" s="49">
        <f t="shared" si="3"/>
        <v>130</v>
      </c>
      <c r="C67" s="50"/>
      <c r="D67" s="51">
        <f t="shared" si="4"/>
        <v>0.26</v>
      </c>
      <c r="E67" s="52"/>
      <c r="F67" s="53"/>
    </row>
    <row r="68" spans="1:6" s="16" customFormat="1" x14ac:dyDescent="0.25">
      <c r="A68" s="48" t="s">
        <v>12</v>
      </c>
      <c r="B68" s="49">
        <f t="shared" si="3"/>
        <v>0</v>
      </c>
      <c r="C68" s="50"/>
      <c r="D68" s="51">
        <f t="shared" si="4"/>
        <v>0</v>
      </c>
      <c r="E68" s="52"/>
      <c r="F68" s="53"/>
    </row>
    <row r="69" spans="1:6" s="16" customFormat="1" x14ac:dyDescent="0.25">
      <c r="A69" s="48" t="s">
        <v>14</v>
      </c>
      <c r="B69" s="49">
        <f t="shared" si="3"/>
        <v>0</v>
      </c>
      <c r="C69" s="50"/>
      <c r="D69" s="51">
        <f t="shared" si="4"/>
        <v>0</v>
      </c>
      <c r="E69" s="52"/>
      <c r="F69" s="53"/>
    </row>
    <row r="70" spans="1:6" s="16" customFormat="1" x14ac:dyDescent="0.25">
      <c r="A70" s="48" t="s">
        <v>44</v>
      </c>
      <c r="B70" s="49">
        <f t="shared" si="3"/>
        <v>98.5</v>
      </c>
      <c r="C70" s="50"/>
      <c r="D70" s="51">
        <f t="shared" si="4"/>
        <v>0.19700000000000001</v>
      </c>
      <c r="E70" s="52"/>
      <c r="F70" s="53"/>
    </row>
    <row r="71" spans="1:6" s="16" customFormat="1" x14ac:dyDescent="0.25">
      <c r="A71" s="48" t="s">
        <v>16</v>
      </c>
      <c r="B71" s="49">
        <f t="shared" si="3"/>
        <v>0</v>
      </c>
      <c r="C71" s="50"/>
      <c r="D71" s="51">
        <f t="shared" si="4"/>
        <v>0</v>
      </c>
      <c r="E71" s="52"/>
      <c r="F71" s="53"/>
    </row>
    <row r="72" spans="1:6" s="16" customFormat="1" x14ac:dyDescent="0.25">
      <c r="A72" s="48" t="str">
        <f>A54</f>
        <v>1.e Sauerteig Stufe II (1/2/2,2)</v>
      </c>
      <c r="B72" s="49">
        <f t="shared" si="3"/>
        <v>264.60000000000002</v>
      </c>
      <c r="C72" s="50">
        <v>26</v>
      </c>
      <c r="D72" s="51">
        <f>D54</f>
        <v>0.5292</v>
      </c>
      <c r="E72" s="52"/>
      <c r="F72" s="53"/>
    </row>
    <row r="73" spans="1:6" s="68" customFormat="1" x14ac:dyDescent="0.25">
      <c r="A73" s="65" t="s">
        <v>45</v>
      </c>
      <c r="B73" s="69">
        <f>D73*F$5</f>
        <v>1</v>
      </c>
      <c r="C73" s="67"/>
      <c r="D73" s="100">
        <v>2E-3</v>
      </c>
      <c r="E73" s="101"/>
      <c r="F73" s="102"/>
    </row>
    <row r="74" spans="1:6" s="16" customFormat="1" x14ac:dyDescent="0.25">
      <c r="A74" s="48" t="s">
        <v>46</v>
      </c>
      <c r="B74" s="49"/>
      <c r="C74" s="50"/>
      <c r="D74" s="51"/>
      <c r="E74" s="52">
        <v>2.0833333333333332E-2</v>
      </c>
      <c r="F74" s="53">
        <f>F75-E74</f>
        <v>45921.784722222226</v>
      </c>
    </row>
    <row r="75" spans="1:6" s="16" customFormat="1" x14ac:dyDescent="0.25">
      <c r="A75" s="116" t="s">
        <v>88</v>
      </c>
      <c r="B75" s="49"/>
      <c r="C75" s="50"/>
      <c r="D75" s="51"/>
      <c r="E75" s="70">
        <v>6.2500000000000003E-3</v>
      </c>
      <c r="F75" s="71">
        <f>F78-E75</f>
        <v>45921.805555555562</v>
      </c>
    </row>
    <row r="76" spans="1:6" s="16" customFormat="1" x14ac:dyDescent="0.25">
      <c r="A76" s="48" t="s">
        <v>47</v>
      </c>
      <c r="B76" s="49">
        <f t="shared" si="3"/>
        <v>11.5</v>
      </c>
      <c r="C76" s="50"/>
      <c r="D76" s="51">
        <f>2.3%</f>
        <v>2.3E-2</v>
      </c>
      <c r="E76" s="52"/>
      <c r="F76" s="53"/>
    </row>
    <row r="77" spans="1:6" s="16" customFormat="1" x14ac:dyDescent="0.25">
      <c r="A77" s="48" t="s">
        <v>48</v>
      </c>
      <c r="B77" s="49">
        <f t="shared" si="3"/>
        <v>2.5</v>
      </c>
      <c r="C77" s="50"/>
      <c r="D77" s="64">
        <v>5.0000000000000001E-3</v>
      </c>
      <c r="E77" s="52"/>
      <c r="F77" s="53"/>
    </row>
    <row r="78" spans="1:6" s="17" customFormat="1" x14ac:dyDescent="0.25">
      <c r="A78" s="116" t="s">
        <v>89</v>
      </c>
      <c r="B78" s="117"/>
      <c r="C78" s="118"/>
      <c r="D78" s="119"/>
      <c r="E78" s="70">
        <v>6.9444444444444447E-4</v>
      </c>
      <c r="F78" s="71">
        <f>F83-E78</f>
        <v>45921.811805555561</v>
      </c>
    </row>
    <row r="79" spans="1:6" s="25" customFormat="1" x14ac:dyDescent="0.25">
      <c r="A79" s="56" t="str">
        <f>A34</f>
        <v>1.b Quellstück: Saaten</v>
      </c>
      <c r="B79" s="49">
        <f>B34</f>
        <v>45</v>
      </c>
      <c r="C79" s="50">
        <f>C34</f>
        <v>21</v>
      </c>
      <c r="D79" s="51">
        <f>D34</f>
        <v>0.09</v>
      </c>
      <c r="E79" s="52"/>
      <c r="F79" s="53"/>
    </row>
    <row r="80" spans="1:6" s="16" customFormat="1" x14ac:dyDescent="0.25">
      <c r="A80" s="72" t="s">
        <v>49</v>
      </c>
      <c r="B80" s="66">
        <f t="shared" si="3"/>
        <v>15</v>
      </c>
      <c r="C80" s="67">
        <v>16</v>
      </c>
      <c r="D80" s="51">
        <v>0.03</v>
      </c>
      <c r="E80" s="52"/>
      <c r="F80" s="53"/>
    </row>
    <row r="81" spans="1:6" s="25" customFormat="1" x14ac:dyDescent="0.25">
      <c r="A81" s="48" t="s">
        <v>50</v>
      </c>
      <c r="B81" s="49"/>
      <c r="C81" s="50">
        <v>26</v>
      </c>
      <c r="D81" s="73"/>
      <c r="E81" s="52"/>
      <c r="F81" s="53"/>
    </row>
    <row r="82" spans="1:6" s="16" customFormat="1" x14ac:dyDescent="0.25">
      <c r="A82" s="48"/>
      <c r="B82" s="49"/>
      <c r="C82" s="57"/>
      <c r="D82" s="64"/>
      <c r="E82" s="52"/>
      <c r="F82" s="53"/>
    </row>
    <row r="83" spans="1:6" s="16" customFormat="1" x14ac:dyDescent="0.25">
      <c r="A83" s="36" t="s">
        <v>90</v>
      </c>
      <c r="B83" s="74"/>
      <c r="C83" s="75">
        <v>21</v>
      </c>
      <c r="D83" s="76"/>
      <c r="E83" s="129">
        <v>0.10416666666666667</v>
      </c>
      <c r="F83" s="128">
        <f>F87-E83</f>
        <v>45921.812500000007</v>
      </c>
    </row>
    <row r="84" spans="1:6" s="68" customFormat="1" x14ac:dyDescent="0.25">
      <c r="A84" s="65" t="s">
        <v>91</v>
      </c>
      <c r="B84" s="130"/>
      <c r="C84" s="67"/>
      <c r="D84" s="100"/>
      <c r="E84" s="101"/>
      <c r="F84" s="102"/>
    </row>
    <row r="85" spans="1:6" s="16" customFormat="1" x14ac:dyDescent="0.25">
      <c r="A85" s="19"/>
      <c r="B85" s="79"/>
      <c r="C85" s="50"/>
      <c r="D85" s="80"/>
      <c r="E85" s="81"/>
      <c r="F85" s="53"/>
    </row>
    <row r="86" spans="1:6" s="16" customFormat="1" x14ac:dyDescent="0.25">
      <c r="A86" s="36" t="s">
        <v>51</v>
      </c>
      <c r="B86" s="82"/>
      <c r="C86" s="75"/>
      <c r="D86" s="76"/>
      <c r="E86" s="46"/>
      <c r="F86" s="47"/>
    </row>
    <row r="87" spans="1:6" s="17" customFormat="1" x14ac:dyDescent="0.25">
      <c r="A87" s="116" t="s">
        <v>92</v>
      </c>
      <c r="B87" s="120"/>
      <c r="C87" s="118"/>
      <c r="D87" s="121"/>
      <c r="E87" s="70">
        <v>6.9444444444444441E-3</v>
      </c>
      <c r="F87" s="71">
        <f>F89-E87</f>
        <v>45921.916666666672</v>
      </c>
    </row>
    <row r="88" spans="1:6" s="25" customFormat="1" ht="13" thickBot="1" x14ac:dyDescent="0.3">
      <c r="A88" s="131" t="s">
        <v>93</v>
      </c>
      <c r="C88" s="132"/>
      <c r="D88" s="133"/>
    </row>
    <row r="89" spans="1:6" s="16" customFormat="1" ht="13" thickBot="1" x14ac:dyDescent="0.3">
      <c r="A89" s="94" t="s">
        <v>102</v>
      </c>
      <c r="B89" s="95"/>
      <c r="C89" s="96">
        <v>5</v>
      </c>
      <c r="D89" s="97" t="s">
        <v>33</v>
      </c>
      <c r="E89" s="98">
        <v>0.79166666666666663</v>
      </c>
      <c r="F89" s="53">
        <f>F93-E89</f>
        <v>45921.923611111117</v>
      </c>
    </row>
    <row r="90" spans="1:6" s="16" customFormat="1" x14ac:dyDescent="0.25">
      <c r="A90" s="77"/>
      <c r="B90" s="78"/>
      <c r="C90" s="50"/>
      <c r="D90" s="80"/>
      <c r="E90" s="52"/>
      <c r="F90" s="53"/>
    </row>
    <row r="91" spans="1:6" s="16" customFormat="1" x14ac:dyDescent="0.25">
      <c r="A91" s="36" t="s">
        <v>52</v>
      </c>
      <c r="B91" s="82"/>
      <c r="C91" s="83"/>
      <c r="D91" s="76"/>
      <c r="E91" s="46"/>
      <c r="F91" s="47"/>
    </row>
    <row r="92" spans="1:6" s="16" customFormat="1" x14ac:dyDescent="0.25">
      <c r="A92" s="77" t="s">
        <v>95</v>
      </c>
      <c r="B92" s="78"/>
      <c r="C92" s="50">
        <v>250</v>
      </c>
      <c r="D92" s="121"/>
      <c r="E92" s="52">
        <v>2.0833333333333332E-2</v>
      </c>
      <c r="F92" s="53">
        <f>F97-E92</f>
        <v>45922.697916666664</v>
      </c>
    </row>
    <row r="93" spans="1:6" s="17" customFormat="1" x14ac:dyDescent="0.25">
      <c r="A93" s="116" t="s">
        <v>96</v>
      </c>
      <c r="B93" s="120"/>
      <c r="C93" s="118"/>
      <c r="E93" s="70">
        <v>3.472222222222222E-3</v>
      </c>
      <c r="F93" s="71">
        <f>F97-E93</f>
        <v>45922.715277777781</v>
      </c>
    </row>
    <row r="94" spans="1:6" s="17" customFormat="1" x14ac:dyDescent="0.25">
      <c r="A94" s="120" t="s">
        <v>53</v>
      </c>
      <c r="B94" s="122"/>
      <c r="C94" s="118"/>
      <c r="D94" s="121"/>
      <c r="E94" s="70"/>
      <c r="F94" s="71"/>
    </row>
    <row r="95" spans="1:6" s="17" customFormat="1" x14ac:dyDescent="0.25">
      <c r="A95" s="120" t="s">
        <v>54</v>
      </c>
      <c r="B95" s="122"/>
      <c r="C95" s="118"/>
      <c r="D95" s="121"/>
      <c r="E95" s="70"/>
      <c r="F95" s="71"/>
    </row>
    <row r="96" spans="1:6" s="17" customFormat="1" x14ac:dyDescent="0.25">
      <c r="A96" s="116" t="s">
        <v>98</v>
      </c>
      <c r="B96" s="117"/>
      <c r="C96" s="118"/>
      <c r="D96" s="121"/>
      <c r="E96" s="70"/>
      <c r="F96" s="71"/>
    </row>
    <row r="97" spans="1:7" s="16" customFormat="1" x14ac:dyDescent="0.25">
      <c r="A97" s="77" t="s">
        <v>55</v>
      </c>
      <c r="B97" s="49"/>
      <c r="C97" s="50">
        <v>240</v>
      </c>
      <c r="D97" s="80"/>
      <c r="E97" s="52">
        <v>6.9444444444444441E-3</v>
      </c>
      <c r="F97" s="53">
        <f>F99-E97</f>
        <v>45922.71875</v>
      </c>
    </row>
    <row r="98" spans="1:7" s="17" customFormat="1" x14ac:dyDescent="0.25">
      <c r="A98" s="116" t="s">
        <v>100</v>
      </c>
      <c r="B98" s="117"/>
      <c r="C98" s="118"/>
      <c r="D98" s="121"/>
      <c r="E98" s="70"/>
      <c r="F98" s="71"/>
    </row>
    <row r="99" spans="1:7" s="16" customFormat="1" x14ac:dyDescent="0.25">
      <c r="A99" s="77" t="s">
        <v>99</v>
      </c>
      <c r="B99" s="78"/>
      <c r="C99" s="50">
        <v>210</v>
      </c>
      <c r="D99" s="73"/>
      <c r="E99" s="52">
        <v>2.4305555555555556E-2</v>
      </c>
      <c r="F99" s="53">
        <f>F100-E99</f>
        <v>45922.725694444445</v>
      </c>
    </row>
    <row r="100" spans="1:7" s="16" customFormat="1" x14ac:dyDescent="0.25">
      <c r="A100" s="77" t="s">
        <v>97</v>
      </c>
      <c r="B100" s="78"/>
      <c r="C100" s="50"/>
      <c r="D100" s="80"/>
      <c r="E100" s="52"/>
      <c r="F100" s="53">
        <f>F3+F4</f>
        <v>45922.75</v>
      </c>
    </row>
    <row r="101" spans="1:7" s="16" customFormat="1" x14ac:dyDescent="0.25">
      <c r="F101" s="86"/>
    </row>
    <row r="102" spans="1:7" x14ac:dyDescent="0.25">
      <c r="D102" s="139" t="s">
        <v>13</v>
      </c>
      <c r="E102" s="140"/>
      <c r="F102" s="140"/>
    </row>
    <row r="103" spans="1:7" x14ac:dyDescent="0.25">
      <c r="D103" s="140"/>
      <c r="E103" s="140"/>
      <c r="F103" s="140"/>
    </row>
    <row r="104" spans="1:7" x14ac:dyDescent="0.25">
      <c r="D104" s="140"/>
      <c r="E104" s="140"/>
      <c r="F104" s="140"/>
    </row>
    <row r="106" spans="1:7" customFormat="1" ht="14.5" x14ac:dyDescent="0.35">
      <c r="A106" s="103" t="s">
        <v>105</v>
      </c>
    </row>
    <row r="107" spans="1:7" customFormat="1" ht="14.5" x14ac:dyDescent="0.35">
      <c r="A107" t="s">
        <v>56</v>
      </c>
      <c r="B107" s="104">
        <f>C138/$B$140*100-C138/$B$140*100*3%</f>
        <v>210.25600170862111</v>
      </c>
      <c r="D107" s="139" t="s">
        <v>13</v>
      </c>
      <c r="E107" s="140"/>
      <c r="F107" s="140"/>
      <c r="G107" s="105"/>
    </row>
    <row r="108" spans="1:7" customFormat="1" ht="14.5" x14ac:dyDescent="0.35">
      <c r="A108" t="s">
        <v>57</v>
      </c>
      <c r="B108" s="105">
        <f>D$138/$B$140*100-D$138/$B$140*100*B$141</f>
        <v>39.716963256386393</v>
      </c>
      <c r="D108" s="140"/>
      <c r="E108" s="140"/>
      <c r="F108" s="140"/>
      <c r="G108" s="105"/>
    </row>
    <row r="109" spans="1:7" customFormat="1" ht="14.5" x14ac:dyDescent="0.35">
      <c r="A109" t="s">
        <v>58</v>
      </c>
      <c r="B109" s="105">
        <f>E$138/$B$140*100-E$138/$B$140*100*B$141</f>
        <v>6.8271773414186052</v>
      </c>
      <c r="D109" s="140"/>
      <c r="E109" s="140"/>
      <c r="F109" s="140"/>
      <c r="G109" s="105"/>
    </row>
    <row r="110" spans="1:7" customFormat="1" ht="14.5" x14ac:dyDescent="0.35">
      <c r="A110" t="s">
        <v>59</v>
      </c>
      <c r="B110" s="105">
        <f>F$138/$B$140*100-F$138/$B$140*100*B$141</f>
        <v>4.8739047066139465</v>
      </c>
      <c r="D110" s="105"/>
      <c r="E110" s="105"/>
      <c r="F110" s="105"/>
      <c r="G110" s="105"/>
    </row>
    <row r="111" spans="1:7" customFormat="1" ht="14.5" x14ac:dyDescent="0.35">
      <c r="A111" t="s">
        <v>60</v>
      </c>
      <c r="B111" s="105">
        <f>G$138/$B$140*100-G$138/$B$140*100*B$141</f>
        <v>1.2401878539223357</v>
      </c>
      <c r="D111" s="105"/>
      <c r="E111" s="105"/>
      <c r="F111" s="105"/>
      <c r="G111" s="105"/>
    </row>
    <row r="112" spans="1:7" customFormat="1" ht="14.5" x14ac:dyDescent="0.35">
      <c r="A112" t="s">
        <v>47</v>
      </c>
      <c r="B112" s="105">
        <f>B76/B140*100-B76/B140*100*3%</f>
        <v>1.3162754419936118</v>
      </c>
      <c r="C112" s="104"/>
      <c r="D112" s="105"/>
      <c r="E112" s="105"/>
      <c r="F112" s="105"/>
      <c r="G112" s="105"/>
    </row>
    <row r="113" spans="1:14" customFormat="1" ht="14.5" x14ac:dyDescent="0.35">
      <c r="B113" s="105"/>
      <c r="C113" s="104"/>
      <c r="D113" s="105"/>
      <c r="E113" s="105"/>
      <c r="F113" s="105"/>
      <c r="G113" s="105"/>
    </row>
    <row r="114" spans="1:14" customFormat="1" ht="14.5" x14ac:dyDescent="0.35">
      <c r="B114" s="103"/>
      <c r="C114" s="104"/>
      <c r="D114" s="105"/>
      <c r="E114" s="105"/>
      <c r="F114" s="105"/>
      <c r="G114" s="105"/>
    </row>
    <row r="115" spans="1:14" customFormat="1" ht="15" hidden="1" thickBot="1" x14ac:dyDescent="0.4">
      <c r="A115" s="106" t="s">
        <v>61</v>
      </c>
      <c r="B115" s="107"/>
      <c r="C115" s="103" t="s">
        <v>56</v>
      </c>
      <c r="D115" s="103" t="s">
        <v>57</v>
      </c>
      <c r="E115" s="103" t="s">
        <v>58</v>
      </c>
      <c r="F115" s="103" t="s">
        <v>59</v>
      </c>
      <c r="G115" s="103" t="s">
        <v>60</v>
      </c>
      <c r="I115" s="103" t="s">
        <v>62</v>
      </c>
      <c r="J115" s="103" t="s">
        <v>56</v>
      </c>
      <c r="K115" s="103" t="s">
        <v>57</v>
      </c>
      <c r="L115" s="103" t="s">
        <v>58</v>
      </c>
      <c r="M115" s="103" t="s">
        <v>59</v>
      </c>
      <c r="N115" s="103" t="s">
        <v>60</v>
      </c>
    </row>
    <row r="116" spans="1:14" customFormat="1" ht="14.5" hidden="1" x14ac:dyDescent="0.35">
      <c r="A116" s="108" t="s">
        <v>32</v>
      </c>
      <c r="B116" s="109">
        <f>B23</f>
        <v>415.8</v>
      </c>
      <c r="C116" s="104">
        <f t="shared" ref="C116:C137" si="5">J116/100*$B116</f>
        <v>0</v>
      </c>
      <c r="D116" s="105">
        <f t="shared" ref="D116:D137" si="6">K116/100*$B116</f>
        <v>0</v>
      </c>
      <c r="E116" s="105">
        <f t="shared" ref="E116:E137" si="7">L116/100*$B116</f>
        <v>0</v>
      </c>
      <c r="F116" s="105">
        <f t="shared" ref="F116:F137" si="8">M116/100*$B116</f>
        <v>0</v>
      </c>
      <c r="G116" s="105">
        <f t="shared" ref="G116:G137" si="9">N116/100*$B116</f>
        <v>0</v>
      </c>
      <c r="I116" s="103" t="s">
        <v>32</v>
      </c>
      <c r="J116" s="104">
        <v>0</v>
      </c>
      <c r="K116" s="105">
        <v>0</v>
      </c>
      <c r="L116" s="105">
        <v>0</v>
      </c>
      <c r="M116" s="105">
        <v>0</v>
      </c>
      <c r="N116" s="105">
        <v>0</v>
      </c>
    </row>
    <row r="117" spans="1:14" customFormat="1" ht="14.5" hidden="1" x14ac:dyDescent="0.35">
      <c r="A117" s="110" t="s">
        <v>9</v>
      </c>
      <c r="B117" s="111">
        <f>B8*$F$5</f>
        <v>115</v>
      </c>
      <c r="C117" s="104">
        <f t="shared" si="5"/>
        <v>402.5</v>
      </c>
      <c r="D117" s="105">
        <f t="shared" si="6"/>
        <v>82.455000000000013</v>
      </c>
      <c r="E117" s="105">
        <f t="shared" si="7"/>
        <v>13.454999999999998</v>
      </c>
      <c r="F117" s="105">
        <f t="shared" si="8"/>
        <v>2.5300000000000002</v>
      </c>
      <c r="G117" s="105">
        <f t="shared" si="9"/>
        <v>0.92</v>
      </c>
      <c r="I117" s="103" t="s">
        <v>9</v>
      </c>
      <c r="J117" s="104">
        <v>350</v>
      </c>
      <c r="K117" s="105">
        <v>71.7</v>
      </c>
      <c r="L117" s="105">
        <v>11.7</v>
      </c>
      <c r="M117" s="105">
        <v>2.2000000000000002</v>
      </c>
      <c r="N117" s="105">
        <v>0.8</v>
      </c>
    </row>
    <row r="118" spans="1:14" customFormat="1" ht="14.5" hidden="1" x14ac:dyDescent="0.35">
      <c r="A118" s="110" t="s">
        <v>11</v>
      </c>
      <c r="B118" s="111">
        <f>B9*$F$5</f>
        <v>130</v>
      </c>
      <c r="C118" s="104">
        <f t="shared" si="5"/>
        <v>451.1</v>
      </c>
      <c r="D118" s="105">
        <f t="shared" si="6"/>
        <v>93.6</v>
      </c>
      <c r="E118" s="105">
        <f t="shared" si="7"/>
        <v>13.78</v>
      </c>
      <c r="F118" s="105">
        <f t="shared" si="8"/>
        <v>4.5500000000000007</v>
      </c>
      <c r="G118" s="105">
        <f t="shared" si="9"/>
        <v>1.4300000000000002</v>
      </c>
      <c r="I118" s="103" t="s">
        <v>11</v>
      </c>
      <c r="J118" s="104">
        <v>347</v>
      </c>
      <c r="K118" s="105">
        <v>72</v>
      </c>
      <c r="L118" s="105">
        <v>10.6</v>
      </c>
      <c r="M118" s="105">
        <v>3.5</v>
      </c>
      <c r="N118" s="105">
        <v>1.1000000000000001</v>
      </c>
    </row>
    <row r="119" spans="1:14" customFormat="1" ht="14.5" hidden="1" x14ac:dyDescent="0.35">
      <c r="A119" s="110" t="s">
        <v>63</v>
      </c>
      <c r="B119" s="111">
        <f t="shared" ref="B119" si="10">B10*$F$5</f>
        <v>0</v>
      </c>
      <c r="C119" s="104">
        <f t="shared" si="5"/>
        <v>0</v>
      </c>
      <c r="D119" s="105">
        <f t="shared" si="6"/>
        <v>0</v>
      </c>
      <c r="E119" s="105">
        <f t="shared" si="7"/>
        <v>0</v>
      </c>
      <c r="F119" s="105">
        <f t="shared" si="8"/>
        <v>0</v>
      </c>
      <c r="G119" s="105">
        <f t="shared" si="9"/>
        <v>0</v>
      </c>
      <c r="I119" s="103" t="s">
        <v>63</v>
      </c>
      <c r="J119" s="104">
        <v>325</v>
      </c>
      <c r="K119" s="105">
        <v>67.900000000000006</v>
      </c>
      <c r="L119" s="105">
        <v>7.4</v>
      </c>
      <c r="M119" s="105">
        <v>6.9</v>
      </c>
      <c r="N119" s="105">
        <v>1.1000000000000001</v>
      </c>
    </row>
    <row r="120" spans="1:14" customFormat="1" ht="14.5" hidden="1" x14ac:dyDescent="0.35">
      <c r="A120" s="110" t="s">
        <v>14</v>
      </c>
      <c r="B120" s="111">
        <f>(B11+B15)*$F$5</f>
        <v>25</v>
      </c>
      <c r="C120" s="104">
        <f t="shared" si="5"/>
        <v>88.75</v>
      </c>
      <c r="D120" s="105">
        <f t="shared" si="6"/>
        <v>15.925000000000001</v>
      </c>
      <c r="E120" s="105">
        <f t="shared" si="7"/>
        <v>3.1749999999999998</v>
      </c>
      <c r="F120" s="105">
        <f t="shared" si="8"/>
        <v>2.0750000000000002</v>
      </c>
      <c r="G120" s="105">
        <f t="shared" si="9"/>
        <v>0.42500000000000004</v>
      </c>
      <c r="I120" s="103" t="s">
        <v>14</v>
      </c>
      <c r="J120" s="104">
        <v>355</v>
      </c>
      <c r="K120" s="105">
        <v>63.7</v>
      </c>
      <c r="L120" s="105">
        <v>12.7</v>
      </c>
      <c r="M120" s="105">
        <v>8.3000000000000007</v>
      </c>
      <c r="N120" s="105">
        <v>1.7</v>
      </c>
    </row>
    <row r="121" spans="1:14" customFormat="1" ht="14.5" hidden="1" x14ac:dyDescent="0.35">
      <c r="A121" s="110" t="s">
        <v>44</v>
      </c>
      <c r="B121" s="111">
        <f>B12*$F$5</f>
        <v>98.5</v>
      </c>
      <c r="C121" s="104">
        <f t="shared" si="5"/>
        <v>320.125</v>
      </c>
      <c r="D121" s="105">
        <f t="shared" si="6"/>
        <v>58.607499999999995</v>
      </c>
      <c r="E121" s="105">
        <f t="shared" si="7"/>
        <v>11.229000000000001</v>
      </c>
      <c r="F121" s="105">
        <f t="shared" si="8"/>
        <v>9.8500000000000014</v>
      </c>
      <c r="G121" s="105">
        <f t="shared" si="9"/>
        <v>0.88650000000000007</v>
      </c>
      <c r="I121" s="103" t="s">
        <v>44</v>
      </c>
      <c r="J121" s="104">
        <v>325</v>
      </c>
      <c r="K121" s="105">
        <v>59.5</v>
      </c>
      <c r="L121" s="105">
        <v>11.4</v>
      </c>
      <c r="M121" s="105">
        <v>10</v>
      </c>
      <c r="N121" s="105">
        <v>0.9</v>
      </c>
    </row>
    <row r="122" spans="1:14" customFormat="1" ht="14.5" hidden="1" x14ac:dyDescent="0.35">
      <c r="A122" s="110" t="s">
        <v>16</v>
      </c>
      <c r="B122" s="111">
        <f>(B13+B16+D31/2)*$F$5</f>
        <v>135.80000000000001</v>
      </c>
      <c r="C122" s="104">
        <f t="shared" si="5"/>
        <v>438.63400000000001</v>
      </c>
      <c r="D122" s="105">
        <f t="shared" si="6"/>
        <v>82.430599999999998</v>
      </c>
      <c r="E122" s="105">
        <f t="shared" si="7"/>
        <v>12.901000000000002</v>
      </c>
      <c r="F122" s="105">
        <f t="shared" si="8"/>
        <v>18.197200000000002</v>
      </c>
      <c r="G122" s="105">
        <f t="shared" si="9"/>
        <v>1.3987400000000001</v>
      </c>
      <c r="I122" s="103" t="s">
        <v>16</v>
      </c>
      <c r="J122" s="104">
        <v>323</v>
      </c>
      <c r="K122" s="105">
        <v>60.7</v>
      </c>
      <c r="L122" s="105">
        <v>9.5</v>
      </c>
      <c r="M122" s="105">
        <v>13.4</v>
      </c>
      <c r="N122" s="105">
        <v>1.03</v>
      </c>
    </row>
    <row r="123" spans="1:14" customFormat="1" ht="14.5" hidden="1" x14ac:dyDescent="0.35">
      <c r="A123" s="110" t="s">
        <v>43</v>
      </c>
      <c r="B123" s="111">
        <v>0</v>
      </c>
      <c r="C123" s="104">
        <f t="shared" si="5"/>
        <v>0</v>
      </c>
      <c r="D123" s="105">
        <f t="shared" si="6"/>
        <v>0</v>
      </c>
      <c r="E123" s="105">
        <f t="shared" si="7"/>
        <v>0</v>
      </c>
      <c r="F123" s="105">
        <f t="shared" si="8"/>
        <v>0</v>
      </c>
      <c r="G123" s="105">
        <f t="shared" si="9"/>
        <v>0</v>
      </c>
      <c r="I123" s="103" t="s">
        <v>43</v>
      </c>
      <c r="J123" s="104">
        <v>127</v>
      </c>
      <c r="K123" s="105">
        <v>12.5</v>
      </c>
      <c r="L123" s="105">
        <v>11.1</v>
      </c>
      <c r="M123" s="105">
        <v>10.199999999999999</v>
      </c>
      <c r="N123" s="105">
        <v>2</v>
      </c>
    </row>
    <row r="124" spans="1:14" customFormat="1" ht="14.5" hidden="1" x14ac:dyDescent="0.35">
      <c r="A124" s="110" t="s">
        <v>47</v>
      </c>
      <c r="B124" s="111">
        <f>B76</f>
        <v>11.5</v>
      </c>
      <c r="C124" s="104">
        <f t="shared" si="5"/>
        <v>0</v>
      </c>
      <c r="D124" s="105">
        <f t="shared" si="6"/>
        <v>0</v>
      </c>
      <c r="E124" s="105">
        <f t="shared" si="7"/>
        <v>0</v>
      </c>
      <c r="F124" s="105">
        <f t="shared" si="8"/>
        <v>0</v>
      </c>
      <c r="G124" s="105">
        <f t="shared" si="9"/>
        <v>0</v>
      </c>
      <c r="I124" s="103" t="s">
        <v>47</v>
      </c>
      <c r="J124" s="104">
        <v>0</v>
      </c>
      <c r="K124" s="105">
        <v>0</v>
      </c>
      <c r="L124" s="105">
        <v>0</v>
      </c>
      <c r="M124" s="105">
        <v>0</v>
      </c>
      <c r="N124" s="105">
        <v>0</v>
      </c>
    </row>
    <row r="125" spans="1:14" customFormat="1" ht="14.5" hidden="1" x14ac:dyDescent="0.35">
      <c r="A125" s="110" t="s">
        <v>64</v>
      </c>
      <c r="B125" s="111">
        <f>B77</f>
        <v>2.5</v>
      </c>
      <c r="C125" s="104">
        <f t="shared" si="5"/>
        <v>7.6</v>
      </c>
      <c r="D125" s="105">
        <f t="shared" si="6"/>
        <v>2.06</v>
      </c>
      <c r="E125" s="105">
        <f t="shared" si="7"/>
        <v>7.4999999999999997E-3</v>
      </c>
      <c r="F125" s="105">
        <f t="shared" si="8"/>
        <v>5.0000000000000001E-3</v>
      </c>
      <c r="G125" s="105">
        <f t="shared" si="9"/>
        <v>0</v>
      </c>
      <c r="I125" s="103" t="s">
        <v>64</v>
      </c>
      <c r="J125" s="104">
        <v>304</v>
      </c>
      <c r="K125" s="105">
        <v>82.4</v>
      </c>
      <c r="L125" s="105">
        <v>0.3</v>
      </c>
      <c r="M125" s="105">
        <v>0.2</v>
      </c>
      <c r="N125" s="105">
        <v>0</v>
      </c>
    </row>
    <row r="126" spans="1:14" customFormat="1" ht="14.5" hidden="1" x14ac:dyDescent="0.35">
      <c r="A126" s="110" t="s">
        <v>10</v>
      </c>
      <c r="B126" s="111">
        <f>F8*F5</f>
        <v>25</v>
      </c>
      <c r="C126" s="104">
        <f t="shared" si="5"/>
        <v>53.25</v>
      </c>
      <c r="D126" s="105">
        <f t="shared" si="6"/>
        <v>10.75</v>
      </c>
      <c r="E126" s="105">
        <f t="shared" si="7"/>
        <v>1.6500000000000001</v>
      </c>
      <c r="F126" s="105">
        <f t="shared" si="8"/>
        <v>1.25</v>
      </c>
      <c r="G126" s="105">
        <f t="shared" si="9"/>
        <v>0.22500000000000003</v>
      </c>
      <c r="I126" s="103" t="s">
        <v>10</v>
      </c>
      <c r="J126" s="104">
        <v>213</v>
      </c>
      <c r="K126" s="105">
        <v>43</v>
      </c>
      <c r="L126" s="105">
        <v>6.6</v>
      </c>
      <c r="M126" s="105">
        <v>5</v>
      </c>
      <c r="N126" s="105">
        <v>0.9</v>
      </c>
    </row>
    <row r="127" spans="1:14" customFormat="1" ht="14.5" hidden="1" x14ac:dyDescent="0.35">
      <c r="A127" s="110" t="s">
        <v>65</v>
      </c>
      <c r="B127" s="111">
        <v>0</v>
      </c>
      <c r="C127" s="104">
        <f t="shared" si="5"/>
        <v>0</v>
      </c>
      <c r="D127" s="105">
        <f t="shared" si="6"/>
        <v>0</v>
      </c>
      <c r="E127" s="105">
        <f t="shared" si="7"/>
        <v>0</v>
      </c>
      <c r="F127" s="105">
        <f t="shared" si="8"/>
        <v>0</v>
      </c>
      <c r="G127" s="105">
        <f t="shared" si="9"/>
        <v>0</v>
      </c>
      <c r="I127" s="103" t="s">
        <v>65</v>
      </c>
      <c r="J127" s="104">
        <v>598</v>
      </c>
      <c r="K127" s="105">
        <v>10.199999999999999</v>
      </c>
      <c r="L127" s="105">
        <v>20</v>
      </c>
      <c r="M127" s="105">
        <v>12</v>
      </c>
      <c r="N127" s="105">
        <v>50.7</v>
      </c>
    </row>
    <row r="128" spans="1:14" customFormat="1" ht="14.5" hidden="1" x14ac:dyDescent="0.35">
      <c r="A128" s="110" t="s">
        <v>66</v>
      </c>
      <c r="B128" s="111">
        <f>B37</f>
        <v>15</v>
      </c>
      <c r="C128" s="104">
        <f t="shared" si="5"/>
        <v>75</v>
      </c>
      <c r="D128" s="105">
        <f t="shared" si="6"/>
        <v>1.17</v>
      </c>
      <c r="E128" s="105">
        <f t="shared" si="7"/>
        <v>3.45</v>
      </c>
      <c r="F128" s="105">
        <f t="shared" si="8"/>
        <v>4.125</v>
      </c>
      <c r="G128" s="105">
        <f t="shared" si="9"/>
        <v>5.55</v>
      </c>
      <c r="I128" s="103" t="s">
        <v>66</v>
      </c>
      <c r="J128" s="104">
        <v>500</v>
      </c>
      <c r="K128" s="105">
        <v>7.8</v>
      </c>
      <c r="L128" s="105">
        <v>23</v>
      </c>
      <c r="M128" s="105">
        <v>27.5</v>
      </c>
      <c r="N128" s="105">
        <v>37</v>
      </c>
    </row>
    <row r="129" spans="1:14" customFormat="1" ht="14.5" hidden="1" x14ac:dyDescent="0.35">
      <c r="A129" s="110" t="s">
        <v>67</v>
      </c>
      <c r="B129" s="111">
        <v>0</v>
      </c>
      <c r="C129" s="104">
        <f t="shared" si="5"/>
        <v>0</v>
      </c>
      <c r="D129" s="105">
        <f t="shared" si="6"/>
        <v>0</v>
      </c>
      <c r="E129" s="105">
        <f t="shared" si="7"/>
        <v>0</v>
      </c>
      <c r="F129" s="105">
        <f t="shared" si="8"/>
        <v>0</v>
      </c>
      <c r="G129" s="105">
        <f t="shared" si="9"/>
        <v>0</v>
      </c>
      <c r="I129" s="103" t="s">
        <v>67</v>
      </c>
      <c r="J129" s="104">
        <v>533</v>
      </c>
      <c r="K129" s="105">
        <v>23.69</v>
      </c>
      <c r="L129" s="105">
        <v>18.04</v>
      </c>
      <c r="M129" s="105">
        <v>10</v>
      </c>
      <c r="N129" s="105">
        <v>44.7</v>
      </c>
    </row>
    <row r="130" spans="1:14" customFormat="1" ht="14.5" hidden="1" x14ac:dyDescent="0.35">
      <c r="A130" s="110" t="s">
        <v>68</v>
      </c>
      <c r="B130" s="111">
        <v>0</v>
      </c>
      <c r="C130" s="104">
        <f t="shared" si="5"/>
        <v>0</v>
      </c>
      <c r="D130" s="105">
        <f t="shared" si="6"/>
        <v>0</v>
      </c>
      <c r="E130" s="105">
        <f t="shared" si="7"/>
        <v>0</v>
      </c>
      <c r="F130" s="105">
        <f t="shared" si="8"/>
        <v>0</v>
      </c>
      <c r="G130" s="105">
        <f t="shared" si="9"/>
        <v>0</v>
      </c>
      <c r="I130" s="103" t="s">
        <v>68</v>
      </c>
      <c r="J130" s="104">
        <v>584</v>
      </c>
      <c r="K130" s="105">
        <v>11.4</v>
      </c>
      <c r="L130" s="105">
        <v>20.8</v>
      </c>
      <c r="M130" s="105">
        <v>8.6</v>
      </c>
      <c r="N130" s="105">
        <v>51.5</v>
      </c>
    </row>
    <row r="131" spans="1:14" customFormat="1" ht="14.5" hidden="1" x14ac:dyDescent="0.35">
      <c r="A131" s="110" t="s">
        <v>69</v>
      </c>
      <c r="B131" s="111">
        <v>0</v>
      </c>
      <c r="C131" s="104">
        <f t="shared" si="5"/>
        <v>0</v>
      </c>
      <c r="D131" s="105">
        <f t="shared" si="6"/>
        <v>0</v>
      </c>
      <c r="E131" s="105">
        <f t="shared" si="7"/>
        <v>0</v>
      </c>
      <c r="F131" s="105">
        <f t="shared" si="8"/>
        <v>0</v>
      </c>
      <c r="G131" s="105">
        <f t="shared" si="9"/>
        <v>0</v>
      </c>
      <c r="I131" s="103" t="s">
        <v>69</v>
      </c>
      <c r="J131" s="104">
        <v>371</v>
      </c>
      <c r="K131" s="105">
        <v>58.7</v>
      </c>
      <c r="L131" s="105">
        <v>13.5</v>
      </c>
      <c r="M131" s="105">
        <v>10</v>
      </c>
      <c r="N131" s="105">
        <v>7</v>
      </c>
    </row>
    <row r="132" spans="1:14" customFormat="1" ht="14.5" hidden="1" x14ac:dyDescent="0.35">
      <c r="A132" s="110" t="s">
        <v>70</v>
      </c>
      <c r="B132" s="111">
        <v>0</v>
      </c>
      <c r="C132" s="104">
        <f t="shared" si="5"/>
        <v>0</v>
      </c>
      <c r="D132" s="105">
        <f t="shared" si="6"/>
        <v>0</v>
      </c>
      <c r="E132" s="105">
        <f t="shared" si="7"/>
        <v>0</v>
      </c>
      <c r="F132" s="105">
        <f t="shared" si="8"/>
        <v>0</v>
      </c>
      <c r="G132" s="105">
        <f t="shared" si="9"/>
        <v>0</v>
      </c>
      <c r="I132" s="103" t="s">
        <v>70</v>
      </c>
      <c r="J132" s="104">
        <v>352</v>
      </c>
      <c r="K132" s="105">
        <v>66.400000000000006</v>
      </c>
      <c r="L132" s="105">
        <v>11.9</v>
      </c>
      <c r="M132" s="105">
        <v>0</v>
      </c>
      <c r="N132" s="105">
        <v>2.8</v>
      </c>
    </row>
    <row r="133" spans="1:14" customFormat="1" ht="14.5" hidden="1" x14ac:dyDescent="0.35">
      <c r="A133" s="110" t="s">
        <v>71</v>
      </c>
      <c r="B133" s="111">
        <v>0</v>
      </c>
      <c r="C133" s="104">
        <f t="shared" si="5"/>
        <v>0</v>
      </c>
      <c r="D133" s="105">
        <f t="shared" si="6"/>
        <v>0</v>
      </c>
      <c r="E133" s="105">
        <f t="shared" si="7"/>
        <v>0</v>
      </c>
      <c r="F133" s="105">
        <f t="shared" si="8"/>
        <v>0</v>
      </c>
      <c r="G133" s="105">
        <f t="shared" si="9"/>
        <v>0</v>
      </c>
      <c r="I133" s="103" t="s">
        <v>71</v>
      </c>
      <c r="J133" s="104">
        <v>327</v>
      </c>
      <c r="K133" s="105">
        <v>59.6</v>
      </c>
      <c r="L133" s="105">
        <v>11.4</v>
      </c>
      <c r="M133" s="105">
        <v>0</v>
      </c>
      <c r="N133" s="105">
        <v>1.8</v>
      </c>
    </row>
    <row r="134" spans="1:14" customFormat="1" ht="14.5" hidden="1" x14ac:dyDescent="0.35">
      <c r="A134" s="110" t="s">
        <v>72</v>
      </c>
      <c r="B134" s="111">
        <v>0</v>
      </c>
      <c r="C134" s="104">
        <f t="shared" si="5"/>
        <v>0</v>
      </c>
      <c r="D134" s="105">
        <f t="shared" si="6"/>
        <v>0</v>
      </c>
      <c r="E134" s="105">
        <f t="shared" si="7"/>
        <v>0</v>
      </c>
      <c r="F134" s="105">
        <f t="shared" si="8"/>
        <v>0</v>
      </c>
      <c r="G134" s="105">
        <f t="shared" si="9"/>
        <v>0</v>
      </c>
      <c r="I134" s="103" t="s">
        <v>72</v>
      </c>
      <c r="J134" s="104">
        <v>330</v>
      </c>
      <c r="K134" s="105">
        <v>63.3</v>
      </c>
      <c r="L134" s="105">
        <v>8.8000000000000007</v>
      </c>
      <c r="M134" s="105">
        <v>0</v>
      </c>
      <c r="N134" s="105">
        <v>1.8</v>
      </c>
    </row>
    <row r="135" spans="1:14" customFormat="1" ht="14.5" hidden="1" x14ac:dyDescent="0.35">
      <c r="A135" s="110" t="s">
        <v>73</v>
      </c>
      <c r="B135" s="111">
        <v>0</v>
      </c>
      <c r="C135" s="104">
        <f t="shared" si="5"/>
        <v>0</v>
      </c>
      <c r="D135" s="105">
        <f t="shared" si="6"/>
        <v>0</v>
      </c>
      <c r="E135" s="105">
        <f t="shared" si="7"/>
        <v>0</v>
      </c>
      <c r="F135" s="105">
        <f t="shared" si="8"/>
        <v>0</v>
      </c>
      <c r="G135" s="105">
        <f t="shared" si="9"/>
        <v>0</v>
      </c>
      <c r="I135" s="103" t="s">
        <v>73</v>
      </c>
      <c r="J135" s="104">
        <v>347</v>
      </c>
      <c r="K135" s="105">
        <v>63</v>
      </c>
      <c r="L135" s="105">
        <v>17</v>
      </c>
      <c r="M135" s="105">
        <v>9.9</v>
      </c>
      <c r="N135" s="105">
        <v>2.7</v>
      </c>
    </row>
    <row r="136" spans="1:14" customFormat="1" ht="14.5" hidden="1" x14ac:dyDescent="0.35">
      <c r="A136" s="110" t="s">
        <v>74</v>
      </c>
      <c r="B136" s="111">
        <v>0</v>
      </c>
      <c r="C136" s="104">
        <f t="shared" si="5"/>
        <v>0</v>
      </c>
      <c r="D136" s="105">
        <f t="shared" si="6"/>
        <v>0</v>
      </c>
      <c r="E136" s="105">
        <f t="shared" si="7"/>
        <v>0</v>
      </c>
      <c r="F136" s="105">
        <f t="shared" si="8"/>
        <v>0</v>
      </c>
      <c r="G136" s="105">
        <f t="shared" si="9"/>
        <v>0</v>
      </c>
      <c r="I136" s="103" t="s">
        <v>74</v>
      </c>
      <c r="J136" s="104">
        <v>713</v>
      </c>
      <c r="K136" s="105">
        <v>0.5</v>
      </c>
      <c r="L136" s="105">
        <v>0.4</v>
      </c>
      <c r="M136" s="105">
        <v>0</v>
      </c>
      <c r="N136" s="105">
        <v>79</v>
      </c>
    </row>
    <row r="137" spans="1:14" customFormat="1" ht="15" hidden="1" thickBot="1" x14ac:dyDescent="0.4">
      <c r="A137" s="112" t="s">
        <v>75</v>
      </c>
      <c r="B137" s="113">
        <v>0</v>
      </c>
      <c r="C137" s="104">
        <f t="shared" si="5"/>
        <v>0</v>
      </c>
      <c r="D137" s="105">
        <f t="shared" si="6"/>
        <v>0</v>
      </c>
      <c r="E137" s="105">
        <f t="shared" si="7"/>
        <v>0</v>
      </c>
      <c r="F137" s="105">
        <f t="shared" si="8"/>
        <v>0</v>
      </c>
      <c r="G137" s="105">
        <f t="shared" si="9"/>
        <v>0</v>
      </c>
      <c r="I137" s="103" t="s">
        <v>75</v>
      </c>
      <c r="J137" s="104">
        <v>32</v>
      </c>
      <c r="K137" s="105">
        <v>7.7</v>
      </c>
      <c r="L137" s="105">
        <v>2.7E-2</v>
      </c>
      <c r="M137" s="105">
        <v>0.31</v>
      </c>
      <c r="N137" s="105">
        <v>0.05</v>
      </c>
    </row>
    <row r="138" spans="1:14" customFormat="1" ht="14.5" hidden="1" x14ac:dyDescent="0.35">
      <c r="A138" s="103" t="s">
        <v>21</v>
      </c>
      <c r="B138" s="114">
        <f>SUM(B116:B137)</f>
        <v>974.09999999999991</v>
      </c>
      <c r="C138" s="104">
        <f>SUM(C117:C137)</f>
        <v>1836.9589999999998</v>
      </c>
      <c r="D138" s="104">
        <f>SUM(D117:D137)</f>
        <v>346.99810000000002</v>
      </c>
      <c r="E138" s="104">
        <f>SUM(E117:E137)</f>
        <v>59.647500000000008</v>
      </c>
      <c r="F138" s="104">
        <f>SUM(F117:F137)</f>
        <v>42.582200000000007</v>
      </c>
      <c r="G138" s="104">
        <f>SUM(G117:G137)</f>
        <v>10.835239999999999</v>
      </c>
      <c r="I138" s="103"/>
      <c r="J138" s="115"/>
    </row>
    <row r="139" spans="1:14" customFormat="1" ht="14.5" hidden="1" x14ac:dyDescent="0.35">
      <c r="A139" s="103" t="s">
        <v>76</v>
      </c>
      <c r="B139" s="115">
        <v>0.13</v>
      </c>
    </row>
    <row r="140" spans="1:14" customFormat="1" ht="14.5" hidden="1" x14ac:dyDescent="0.35">
      <c r="A140" s="103" t="s">
        <v>77</v>
      </c>
      <c r="B140" s="114">
        <f>B138-B138*B139</f>
        <v>847.46699999999987</v>
      </c>
    </row>
    <row r="141" spans="1:14" s="103" customFormat="1" ht="14.5" hidden="1" x14ac:dyDescent="0.35">
      <c r="A141" s="103" t="s">
        <v>78</v>
      </c>
      <c r="B141" s="115">
        <v>0.03</v>
      </c>
    </row>
    <row r="143" spans="1:14" x14ac:dyDescent="0.25">
      <c r="A143" s="124"/>
    </row>
  </sheetData>
  <sheetProtection algorithmName="SHA-512" hashValue="X9mexZbS9qH/TJa+a8g4WgMW3zW3B0DD4YI2F8jFcGB80MWB/Vu1jlXa1hzOfnvrtZaR2wu+hhFy1W5ug7OAcg==" saltValue="oS385ejsKhAhSLlYQlXDhg==" spinCount="100000" sheet="1" objects="1"/>
  <mergeCells count="10">
    <mergeCell ref="D107:F109"/>
    <mergeCell ref="A1:F1"/>
    <mergeCell ref="D3:E3"/>
    <mergeCell ref="D4:E4"/>
    <mergeCell ref="A2:F2"/>
    <mergeCell ref="D102:F104"/>
    <mergeCell ref="D10:F12"/>
    <mergeCell ref="A7:B7"/>
    <mergeCell ref="D7:F7"/>
    <mergeCell ref="A14:B14"/>
  </mergeCells>
  <conditionalFormatting sqref="A64:D64">
    <cfRule type="expression" dxfId="14" priority="21">
      <formula>$B15=0</formula>
    </cfRule>
  </conditionalFormatting>
  <conditionalFormatting sqref="A65:D65">
    <cfRule type="expression" dxfId="13" priority="18">
      <formula>$F8=0</formula>
    </cfRule>
  </conditionalFormatting>
  <conditionalFormatting sqref="A66:D71">
    <cfRule type="expression" dxfId="12" priority="12">
      <formula>$B8=0</formula>
    </cfRule>
  </conditionalFormatting>
  <conditionalFormatting sqref="A79:D79">
    <cfRule type="expression" dxfId="11" priority="23">
      <formula>$B15=0</formula>
    </cfRule>
  </conditionalFormatting>
  <conditionalFormatting sqref="A27:F32">
    <cfRule type="expression" dxfId="10" priority="15">
      <formula>#REF!=0</formula>
    </cfRule>
  </conditionalFormatting>
  <conditionalFormatting sqref="A40:F43 A44:E44">
    <cfRule type="expression" dxfId="8" priority="24">
      <formula>$B$15=0</formula>
    </cfRule>
  </conditionalFormatting>
  <conditionalFormatting sqref="A46:F49 A50:E50 A51:F51 A52:E52">
    <cfRule type="expression" dxfId="7" priority="16">
      <formula>$F$8=0</formula>
    </cfRule>
  </conditionalFormatting>
  <conditionalFormatting sqref="A54:F60">
    <cfRule type="expression" dxfId="6" priority="9">
      <formula>$B$16=0</formula>
    </cfRule>
  </conditionalFormatting>
  <conditionalFormatting sqref="A89:F89">
    <cfRule type="expression" dxfId="5" priority="7">
      <formula>$B$15=0</formula>
    </cfRule>
  </conditionalFormatting>
  <conditionalFormatting sqref="B16">
    <cfRule type="expression" dxfId="4" priority="11">
      <formula>$B$16=0</formula>
    </cfRule>
  </conditionalFormatting>
  <conditionalFormatting sqref="F44">
    <cfRule type="expression" dxfId="3" priority="4">
      <formula>$B$16=0</formula>
    </cfRule>
  </conditionalFormatting>
  <conditionalFormatting sqref="F50">
    <cfRule type="expression" dxfId="2" priority="5">
      <formula>$B$16=0</formula>
    </cfRule>
  </conditionalFormatting>
  <conditionalFormatting sqref="F52">
    <cfRule type="expression" dxfId="1" priority="2">
      <formula>$B$16=0</formula>
    </cfRule>
  </conditionalFormatting>
  <conditionalFormatting sqref="A34:F38">
    <cfRule type="expression" dxfId="0" priority="1">
      <formula>$F$9=0</formula>
    </cfRule>
  </conditionalFormatting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  <rowBreaks count="2" manualBreakCount="2">
    <brk id="53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2025-09-17T20:32:48Z</cp:lastPrinted>
  <dcterms:created xsi:type="dcterms:W3CDTF">2025-04-29T22:05:03Z</dcterms:created>
  <dcterms:modified xsi:type="dcterms:W3CDTF">2025-09-22T17:18:18Z</dcterms:modified>
  <cp:category/>
  <cp:contentStatus/>
</cp:coreProperties>
</file>