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2c8b490a3223ad0/Brotfeuer/Grafik-Design/Brotfeuer-Internetseite_xar_files/"/>
    </mc:Choice>
  </mc:AlternateContent>
  <xr:revisionPtr revIDLastSave="9" documentId="8_{32345882-9857-4FA6-BFEF-4267B9269BB0}" xr6:coauthVersionLast="47" xr6:coauthVersionMax="47" xr10:uidLastSave="{7281B891-51C1-403F-9AF3-2B91DFDD7AAA}"/>
  <bookViews>
    <workbookView xWindow="-110" yWindow="-110" windowWidth="19420" windowHeight="10300" xr2:uid="{6AF04D03-3FFF-482B-ADA3-9E84988EE023}"/>
  </bookViews>
  <sheets>
    <sheet name="MeinBrot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6" i="1" l="1"/>
  <c r="C17" i="1"/>
  <c r="C19" i="1"/>
  <c r="A47" i="1"/>
  <c r="A40" i="1"/>
  <c r="C15" i="1"/>
  <c r="B166" i="1"/>
  <c r="B163" i="1"/>
  <c r="D104" i="1"/>
  <c r="B104" i="1" s="1"/>
  <c r="B20" i="1"/>
  <c r="D44" i="1" l="1"/>
  <c r="D42" i="1" s="1"/>
  <c r="B25" i="1"/>
  <c r="D43" i="1" l="1"/>
  <c r="D40" i="1" s="1"/>
  <c r="D92" i="1" l="1"/>
  <c r="A90" i="1"/>
  <c r="A127" i="1" s="1"/>
  <c r="B164" i="1"/>
  <c r="B162" i="1"/>
  <c r="A54" i="1"/>
  <c r="A106" i="1" s="1"/>
  <c r="A83" i="1"/>
  <c r="A76" i="1"/>
  <c r="A69" i="1"/>
  <c r="A62" i="1"/>
  <c r="D127" i="1" l="1"/>
  <c r="B127" i="1" s="1"/>
  <c r="D57" i="1"/>
  <c r="D56" i="1" s="1"/>
  <c r="D121" i="1"/>
  <c r="D58" i="1" l="1"/>
  <c r="B116" i="1" s="1"/>
  <c r="B168" i="1" s="1"/>
  <c r="B57" i="1"/>
  <c r="B58" i="1" l="1"/>
  <c r="D65" i="1"/>
  <c r="D64" i="1" s="1"/>
  <c r="D72" i="1"/>
  <c r="D71" i="1" s="1"/>
  <c r="D79" i="1"/>
  <c r="D78" i="1" s="1"/>
  <c r="D86" i="1"/>
  <c r="D126" i="1" s="1"/>
  <c r="B86" i="1" l="1"/>
  <c r="B92" i="1"/>
  <c r="D90" i="1"/>
  <c r="D85" i="1"/>
  <c r="D83" i="1" s="1"/>
  <c r="D76" i="1"/>
  <c r="B78" i="1"/>
  <c r="D69" i="1"/>
  <c r="B71" i="1"/>
  <c r="B64" i="1"/>
  <c r="D62" i="1"/>
  <c r="B72" i="1"/>
  <c r="B79" i="1"/>
  <c r="B65" i="1"/>
  <c r="B173" i="1" l="1"/>
  <c r="C91" i="1"/>
  <c r="B85" i="1"/>
  <c r="B62" i="1"/>
  <c r="B69" i="1"/>
  <c r="B76" i="1"/>
  <c r="B122" i="1"/>
  <c r="A105" i="1"/>
  <c r="B83" i="1" l="1"/>
  <c r="A51" i="1"/>
  <c r="B171" i="1"/>
  <c r="A126" i="1" l="1"/>
  <c r="B179" i="1"/>
  <c r="D117" i="1"/>
  <c r="B117" i="1" s="1"/>
  <c r="B167" i="1" s="1"/>
  <c r="E167" i="1" s="1"/>
  <c r="C167" i="1" l="1"/>
  <c r="F167" i="1"/>
  <c r="G167" i="1"/>
  <c r="D167" i="1"/>
  <c r="A109" i="1"/>
  <c r="B170" i="1"/>
  <c r="B177" i="1" l="1"/>
  <c r="B126" i="1"/>
  <c r="D109" i="1" l="1"/>
  <c r="B109" i="1" s="1"/>
  <c r="A108" i="1" l="1"/>
  <c r="D111" i="1"/>
  <c r="D112" i="1"/>
  <c r="B112" i="1" s="1"/>
  <c r="D113" i="1"/>
  <c r="D114" i="1"/>
  <c r="B114" i="1" s="1"/>
  <c r="D115" i="1"/>
  <c r="B115" i="1" s="1"/>
  <c r="F164" i="1"/>
  <c r="B165" i="1"/>
  <c r="G165" i="1" s="1"/>
  <c r="G162" i="1"/>
  <c r="G171" i="1"/>
  <c r="B161" i="1"/>
  <c r="G161" i="1" s="1"/>
  <c r="G183" i="1"/>
  <c r="F183" i="1"/>
  <c r="E183" i="1"/>
  <c r="D183" i="1"/>
  <c r="C183" i="1"/>
  <c r="G182" i="1"/>
  <c r="F182" i="1"/>
  <c r="E182" i="1"/>
  <c r="D182" i="1"/>
  <c r="C182" i="1"/>
  <c r="G181" i="1"/>
  <c r="F181" i="1"/>
  <c r="E181" i="1"/>
  <c r="D181" i="1"/>
  <c r="C181" i="1"/>
  <c r="G180" i="1"/>
  <c r="F180" i="1"/>
  <c r="E180" i="1"/>
  <c r="D180" i="1"/>
  <c r="C180" i="1"/>
  <c r="G179" i="1"/>
  <c r="F179" i="1"/>
  <c r="E179" i="1"/>
  <c r="D179" i="1"/>
  <c r="C179" i="1"/>
  <c r="G178" i="1"/>
  <c r="F178" i="1"/>
  <c r="E178" i="1"/>
  <c r="D178" i="1"/>
  <c r="C178" i="1"/>
  <c r="G177" i="1"/>
  <c r="F177" i="1"/>
  <c r="E177" i="1"/>
  <c r="D177" i="1"/>
  <c r="C177" i="1"/>
  <c r="G175" i="1"/>
  <c r="F175" i="1"/>
  <c r="E175" i="1"/>
  <c r="D175" i="1"/>
  <c r="C175" i="1"/>
  <c r="G174" i="1"/>
  <c r="F174" i="1"/>
  <c r="E174" i="1"/>
  <c r="D174" i="1"/>
  <c r="C174" i="1"/>
  <c r="G172" i="1"/>
  <c r="F172" i="1"/>
  <c r="E172" i="1"/>
  <c r="D172" i="1"/>
  <c r="C172" i="1"/>
  <c r="B113" i="1" l="1"/>
  <c r="B111" i="1"/>
  <c r="C165" i="1"/>
  <c r="D165" i="1"/>
  <c r="C171" i="1"/>
  <c r="D171" i="1"/>
  <c r="C164" i="1"/>
  <c r="E165" i="1"/>
  <c r="F165" i="1"/>
  <c r="E164" i="1"/>
  <c r="G164" i="1"/>
  <c r="D164" i="1"/>
  <c r="E162" i="1"/>
  <c r="F162" i="1"/>
  <c r="E171" i="1"/>
  <c r="F171" i="1"/>
  <c r="C162" i="1"/>
  <c r="D162" i="1"/>
  <c r="C161" i="1"/>
  <c r="D161" i="1"/>
  <c r="E161" i="1"/>
  <c r="F161" i="1"/>
  <c r="C127" i="1"/>
  <c r="B176" i="1" l="1"/>
  <c r="D176" i="1" s="1"/>
  <c r="D173" i="1"/>
  <c r="C173" i="1"/>
  <c r="G173" i="1"/>
  <c r="F173" i="1"/>
  <c r="E173" i="1"/>
  <c r="E176" i="1" l="1"/>
  <c r="C176" i="1"/>
  <c r="G176" i="1"/>
  <c r="F176" i="1"/>
  <c r="F148" i="1"/>
  <c r="B118" i="1"/>
  <c r="D110" i="1"/>
  <c r="F147" i="1" l="1"/>
  <c r="F145" i="1" s="1"/>
  <c r="B128" i="1"/>
  <c r="B110" i="1"/>
  <c r="F141" i="1" l="1"/>
  <c r="F142" i="1"/>
  <c r="F168" i="1"/>
  <c r="E168" i="1"/>
  <c r="C168" i="1"/>
  <c r="D168" i="1"/>
  <c r="G168" i="1"/>
  <c r="F170" i="1"/>
  <c r="E170" i="1"/>
  <c r="D170" i="1"/>
  <c r="C170" i="1"/>
  <c r="G170" i="1"/>
  <c r="A107" i="1"/>
  <c r="F138" i="1" l="1"/>
  <c r="F137" i="1" s="1"/>
  <c r="F132" i="1" s="1"/>
  <c r="F123" i="1" s="1"/>
  <c r="D107" i="1"/>
  <c r="D108" i="1"/>
  <c r="B108" i="1" s="1"/>
  <c r="B107" i="1" l="1"/>
  <c r="F120" i="1" l="1"/>
  <c r="F102" i="1" l="1"/>
  <c r="F60" i="1" s="1"/>
  <c r="F55" i="1" s="1"/>
  <c r="F52" i="1" l="1"/>
  <c r="F48" i="1" s="1"/>
  <c r="F45" i="1" l="1"/>
  <c r="F41" i="1" s="1"/>
  <c r="F46" i="1"/>
  <c r="B44" i="1"/>
  <c r="D51" i="1" l="1"/>
  <c r="D50" i="1" s="1"/>
  <c r="D49" i="1" s="1"/>
  <c r="D103" i="1" s="1"/>
  <c r="D26" i="1" s="1"/>
  <c r="B42" i="1"/>
  <c r="B43" i="1"/>
  <c r="B40" i="1" l="1"/>
  <c r="C163" i="1"/>
  <c r="G163" i="1"/>
  <c r="E163" i="1"/>
  <c r="F163" i="1"/>
  <c r="D163" i="1"/>
  <c r="C166" i="1"/>
  <c r="D166" i="1"/>
  <c r="E166" i="1"/>
  <c r="F166" i="1"/>
  <c r="G166" i="1"/>
  <c r="B121" i="1"/>
  <c r="A21" i="1"/>
  <c r="B50" i="1" l="1"/>
  <c r="D47" i="1"/>
  <c r="D105" i="1" s="1"/>
  <c r="B49" i="1"/>
  <c r="B51" i="1"/>
  <c r="B169" i="1"/>
  <c r="B47" i="1" l="1"/>
  <c r="B105" i="1" s="1"/>
  <c r="B103" i="1"/>
  <c r="D169" i="1"/>
  <c r="G169" i="1"/>
  <c r="C169" i="1"/>
  <c r="F169" i="1"/>
  <c r="E169" i="1"/>
  <c r="D54" i="1" l="1"/>
  <c r="D106" i="1" s="1"/>
  <c r="D101" i="1" s="1"/>
  <c r="B56" i="1"/>
  <c r="B26" i="1" s="1"/>
  <c r="B160" i="1" l="1"/>
  <c r="B54" i="1"/>
  <c r="B106" i="1" s="1"/>
  <c r="B101" i="1" s="1"/>
  <c r="F7" i="1" s="1"/>
  <c r="B184" i="1" l="1"/>
  <c r="B186" i="1" s="1"/>
  <c r="B33" i="1" s="1"/>
  <c r="E160" i="1"/>
  <c r="E184" i="1" s="1"/>
  <c r="G160" i="1"/>
  <c r="G184" i="1" s="1"/>
  <c r="F160" i="1"/>
  <c r="F184" i="1" s="1"/>
  <c r="D160" i="1"/>
  <c r="D184" i="1" s="1"/>
  <c r="C160" i="1"/>
  <c r="C184" i="1" s="1"/>
  <c r="B28" i="1" l="1"/>
  <c r="B30" i="1"/>
  <c r="B29" i="1"/>
  <c r="B31" i="1"/>
  <c r="B32" i="1"/>
</calcChain>
</file>

<file path=xl/sharedStrings.xml><?xml version="1.0" encoding="utf-8"?>
<sst xmlns="http://schemas.openxmlformats.org/spreadsheetml/2006/main" count="210" uniqueCount="131">
  <si>
    <t xml:space="preserve">Datum: An welchem Tag möchte ich backen? </t>
  </si>
  <si>
    <t xml:space="preserve">Uhrzeit: Zu welcher Uhrzeit soll das Brot fertig gebacken sein? </t>
  </si>
  <si>
    <t>hh:mm &gt;&gt;</t>
  </si>
  <si>
    <t>Mehlmenge: Wie viel Gramm Mehl möchte ich insgesamt verarbeiten?</t>
  </si>
  <si>
    <t xml:space="preserve"> &gt;&gt;</t>
  </si>
  <si>
    <t>Brotgewicht insgesamt ca.</t>
  </si>
  <si>
    <t>Mehlsorten im Hauptteig</t>
  </si>
  <si>
    <t>Dinkelmehl 630</t>
  </si>
  <si>
    <t>Röstbrot</t>
  </si>
  <si>
    <t>Weizenmehl 550</t>
  </si>
  <si>
    <t>Roggenmehl 997 oder 1150</t>
  </si>
  <si>
    <t>Dinkelvollkornmehl</t>
  </si>
  <si>
    <t xml:space="preserve">Weizenvollkornmehl </t>
  </si>
  <si>
    <t>Roggenvollkornmehl</t>
  </si>
  <si>
    <t>Mehlmenge</t>
  </si>
  <si>
    <t xml:space="preserve"> = </t>
  </si>
  <si>
    <t>Gramm</t>
  </si>
  <si>
    <t xml:space="preserve">   °C</t>
  </si>
  <si>
    <t xml:space="preserve">      %</t>
  </si>
  <si>
    <t>Dauer</t>
  </si>
  <si>
    <t>Datum, Startzeit</t>
  </si>
  <si>
    <t>Wasser</t>
  </si>
  <si>
    <t>Folgende Zutaten im Wasser quellen lassen</t>
  </si>
  <si>
    <t>2. Mischen &amp; Kneten</t>
  </si>
  <si>
    <t>Weizenvollkornmehl</t>
  </si>
  <si>
    <t>Optional bei Dinkel: Acerolapulver</t>
  </si>
  <si>
    <t>Kesselruhe</t>
  </si>
  <si>
    <t>Salz</t>
  </si>
  <si>
    <t>Optimale Teigtemperatur</t>
  </si>
  <si>
    <t>Optional: Nach 30 und 60 Minuten dehnen und falten</t>
  </si>
  <si>
    <t>4. Stückgare</t>
  </si>
  <si>
    <t>Teiglinge abstechen, auf Spannung bringen und formen</t>
  </si>
  <si>
    <t>hh:mm</t>
  </si>
  <si>
    <t>Teigling mit Wasser besprühen, in Backofen schieben und sofort schwaden oder Topf schließen</t>
  </si>
  <si>
    <t>Anbacken</t>
  </si>
  <si>
    <t>Schwaden nach 10 Minuten ablassen oder Topf-Deckel nach halber Backzeit entfernen</t>
  </si>
  <si>
    <t>Ausbacken</t>
  </si>
  <si>
    <t>Beispiel: Bei 800g-Teiglingen dauert die Backzeit ca. 40 Minuten</t>
  </si>
  <si>
    <t>Energie</t>
  </si>
  <si>
    <t>Kohlehydrate</t>
  </si>
  <si>
    <t>Eiweiß</t>
  </si>
  <si>
    <t>Ballaststoffe</t>
  </si>
  <si>
    <t>Fett</t>
  </si>
  <si>
    <t>Eingaben Rezept</t>
  </si>
  <si>
    <t>Roggenmehl 997</t>
  </si>
  <si>
    <t>Frischhefe</t>
  </si>
  <si>
    <t>Honig</t>
  </si>
  <si>
    <t>Sesamsaat</t>
  </si>
  <si>
    <t>Leinsaat</t>
  </si>
  <si>
    <t>Mohn</t>
  </si>
  <si>
    <t>Sonnenblumenkerne</t>
  </si>
  <si>
    <t>Haferflocken</t>
  </si>
  <si>
    <t>Dinkelkörner</t>
  </si>
  <si>
    <t>Weizenkörner</t>
  </si>
  <si>
    <t>Roggenkörner</t>
  </si>
  <si>
    <t>Grünkernkörner</t>
  </si>
  <si>
    <t>Rama so buttrig</t>
  </si>
  <si>
    <t>Ei-Ersatzpulver</t>
  </si>
  <si>
    <t>Rezeptgewicht</t>
  </si>
  <si>
    <t>Backverlust</t>
  </si>
  <si>
    <t>Brotgewicht</t>
  </si>
  <si>
    <t>Schwankungsbreite</t>
  </si>
  <si>
    <t>Kneten bis zum Fenstertest</t>
  </si>
  <si>
    <t>5. Backen</t>
  </si>
  <si>
    <t>Folgende Zutaten abwiegen</t>
  </si>
  <si>
    <t>Mehl mit Wasser überbrühen und umrühren bis kein Mehl mehr zu sehen ist</t>
  </si>
  <si>
    <t>Zutaten mischen bis kein Mehl und kein Wasser mehr zu sehen ist.</t>
  </si>
  <si>
    <t>Summe muss 100% sein</t>
  </si>
  <si>
    <t>Flohsamenschalen</t>
  </si>
  <si>
    <t>Nährwerttabelle je 100g</t>
  </si>
  <si>
    <t>1. Vorstufen</t>
  </si>
  <si>
    <t>Nussmix</t>
  </si>
  <si>
    <t>Flüssigkeit (theoretisch)</t>
  </si>
  <si>
    <t>TT.MM &gt;&gt;</t>
  </si>
  <si>
    <t>www.brotfeuer.de</t>
  </si>
  <si>
    <t>30 - 60 Minuten</t>
  </si>
  <si>
    <t>3. Stockgare</t>
  </si>
  <si>
    <t>(geröstetes) Altbrot</t>
  </si>
  <si>
    <t>Nährwerte je 100g Brot:</t>
  </si>
  <si>
    <t>Überblick:</t>
  </si>
  <si>
    <t>&gt; Seite 2: Vorstufen</t>
  </si>
  <si>
    <t>Mein Rezept im Druck:</t>
  </si>
  <si>
    <t>Gestalte Dein Rezept individuell über die grün gerahmten Felder</t>
  </si>
  <si>
    <t>Dinkel-Vollkornmehl im Brühstück</t>
  </si>
  <si>
    <t>Teiglinge aus der Kühlung nehmen, auf Backpapier legen, Schluss unten</t>
  </si>
  <si>
    <t>Aktive Zubereitungszeit:</t>
  </si>
  <si>
    <t>Reife</t>
  </si>
  <si>
    <t>Backstein oder Topf aufheizen</t>
  </si>
  <si>
    <t>Stockgare in geölter Schüssel</t>
  </si>
  <si>
    <t>Bassinage, Wasser ca.</t>
  </si>
  <si>
    <t xml:space="preserve">&gt; Seite 3: Hauptteig </t>
  </si>
  <si>
    <t>Stückgare im Gärkorb, Schluss oben</t>
  </si>
  <si>
    <t>Optional: Brotgewürze</t>
  </si>
  <si>
    <t>Weitere Zutaten/Vorstufen, max. 20%</t>
  </si>
  <si>
    <t>(geröstete) Haferflocken</t>
  </si>
  <si>
    <t>Mindest-Quellzeit</t>
  </si>
  <si>
    <t>Teigling einschneiden und nach Belieben mit Saaten oder Flocken bestreuen</t>
  </si>
  <si>
    <t>Passive Quell- und Reifezeiten:</t>
  </si>
  <si>
    <t>Folgende Zutaten abwiegen und kneten</t>
  </si>
  <si>
    <t>Haferflocken mit kochendem Wasser überbrühen und umrühren</t>
  </si>
  <si>
    <t>Körner im kochenden Wasser simmern lassen bis die Körner weich sind</t>
  </si>
  <si>
    <t>Röstbrot/Altbrot</t>
  </si>
  <si>
    <t>Frischhefe, alternativ 1/3 Trockenhefe</t>
  </si>
  <si>
    <t>Quellzeit flexibel zwischen 12 - 18 Stunden</t>
  </si>
  <si>
    <t>Weizenmehl 550 im Poolish</t>
  </si>
  <si>
    <t>Folgende Zutaten abwiegen und intensiv mischen</t>
  </si>
  <si>
    <t>Getreidekörner</t>
  </si>
  <si>
    <t>(geröstete) Getreidekörner</t>
  </si>
  <si>
    <t>Saaten/Nüsse</t>
  </si>
  <si>
    <t xml:space="preserve">Die hier aufgeführten Vorstufen Nr. 1.d bis 1.h können zeitlich flexibel zubereitet werden, 
zum Beispiel am Vortag. Wichtig: Mindesquellzeit beachten. 
</t>
  </si>
  <si>
    <t>Saaten und/oder Nüsse insgesamt</t>
  </si>
  <si>
    <t>Wassermenge bei geschroteter Leinsaat entspricht ~ dem doppelten Eigengewicht</t>
  </si>
  <si>
    <t>Wassermenge bei Leinsaat entspricht ~ dem Eigengewicht</t>
  </si>
  <si>
    <t>Wassermenge bei Sesam/Sonnenblumenkernen entspricht ~ 1/2 vom Eigengewicht</t>
  </si>
  <si>
    <t>Wassermenge bei Nüssen entspricht ~ dem doppelten Eigengewicht; später abtropfen lassen</t>
  </si>
  <si>
    <t>Zutaten verrühren bis kein Mehl und kein Wasser mehr zu sehen ist</t>
  </si>
  <si>
    <t>Zutaten überbrühen, umrühren, abkühlen lassen, anschließend pürieren</t>
  </si>
  <si>
    <t>Die Wassermenge hängt von der Zusammensetzung der folgenden Zutaten ab:</t>
  </si>
  <si>
    <t>Abschließend folgende Zutaten schonend einkneten</t>
  </si>
  <si>
    <t>Alternativ ohne Kneten: In den ersten zwei Stunden der Stockgare vier mal dehnen und falten</t>
  </si>
  <si>
    <t>Sauerteig-Anstellgut TA200</t>
  </si>
  <si>
    <t>Mehl im alten Sauerteig-Anstellgut TA 200</t>
  </si>
  <si>
    <t>Alternative Reife für ein milderes Brot</t>
  </si>
  <si>
    <t>Roggenmehl in Sauerteigvorstufe</t>
  </si>
  <si>
    <t>Roggenmehl nach Wahl</t>
  </si>
  <si>
    <t>Altes Sauerteig-Anstellgut TA200</t>
  </si>
  <si>
    <t>Mehlsorten in den Vorstufen, max. 30%</t>
  </si>
  <si>
    <t>Alternativ, ohne Kneten: In den ersten zwei Stunden der Stockgare vier mal dehnen und falten.</t>
  </si>
  <si>
    <t>~ 6 Stunden (ohne Vorstufen)</t>
  </si>
  <si>
    <r>
      <rPr>
        <b/>
        <sz val="14"/>
        <rFont val="Tahoma"/>
        <family val="2"/>
      </rPr>
      <t>Mein Brot 1</t>
    </r>
    <r>
      <rPr>
        <b/>
        <sz val="10"/>
        <rFont val="Tahoma"/>
        <family val="2"/>
      </rPr>
      <t xml:space="preserve">
</t>
    </r>
    <r>
      <rPr>
        <sz val="10"/>
        <rFont val="Tahoma"/>
        <family val="2"/>
      </rPr>
      <t xml:space="preserve">0,7% Hefe, wahlweise mit Poolish, Sauerteig-Anstellgut und weiteren Zutaten.
Dieses Rezept eignet sich für Dinkel- und Weizen(misch)brote mit maximal 30% Roggenmehl.
</t>
    </r>
  </si>
  <si>
    <t>Mein Brot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</si>
</sst>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.0"/>
    <numFmt numFmtId="165" formatCode="h:mm;@"/>
    <numFmt numFmtId="166" formatCode="#,##0\ &quot;g&quot;"/>
    <numFmt numFmtId="167" formatCode="0.0%"/>
    <numFmt numFmtId="168" formatCode="#,###\ &quot;°C&quot;"/>
    <numFmt numFmtId="169" formatCode="#,###\ &quot;g&quot;"/>
    <numFmt numFmtId="170" formatCode="dd/mm/yy\,\ hh:mm"/>
    <numFmt numFmtId="171" formatCode="0\ \k\c\a\l"/>
    <numFmt numFmtId="172" formatCode="0.0\ &quot;g&quot;"/>
    <numFmt numFmtId="173" formatCode="0.00\ &quot;g&quot;"/>
  </numFmts>
  <fonts count="25" x14ac:knownFonts="1">
    <font>
      <sz val="11"/>
      <color theme="1"/>
      <name val="Aptos Narrow"/>
      <family val="2"/>
      <scheme val="minor"/>
    </font>
    <font>
      <b/>
      <sz val="10"/>
      <color theme="0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0"/>
      <color theme="9" tint="-0.249977111117893"/>
      <name val="Tahoma"/>
      <family val="2"/>
    </font>
    <font>
      <sz val="10"/>
      <color theme="0"/>
      <name val="Tahoma"/>
      <family val="2"/>
    </font>
    <font>
      <sz val="10"/>
      <color rgb="FF0070C0"/>
      <name val="Tahoma"/>
      <family val="2"/>
    </font>
    <font>
      <sz val="10"/>
      <color theme="0" tint="-0.249977111117893"/>
      <name val="Tahoma"/>
      <family val="2"/>
    </font>
    <font>
      <sz val="10"/>
      <color theme="0" tint="-0.34998626667073579"/>
      <name val="Tahoma"/>
      <family val="2"/>
    </font>
    <font>
      <sz val="10"/>
      <color theme="2"/>
      <name val="Tahoma"/>
      <family val="2"/>
    </font>
    <font>
      <sz val="10"/>
      <color theme="2" tint="-0.249977111117893"/>
      <name val="Tahoma"/>
      <family val="2"/>
    </font>
    <font>
      <b/>
      <sz val="9"/>
      <color theme="0"/>
      <name val="Tahoma"/>
      <family val="2"/>
    </font>
    <font>
      <sz val="10"/>
      <color theme="8" tint="0.39997558519241921"/>
      <name val="Tahoma"/>
      <family val="2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color theme="9" tint="-0.249977111117893"/>
      <name val="Aptos Narrow"/>
      <family val="2"/>
      <scheme val="minor"/>
    </font>
    <font>
      <sz val="9"/>
      <name val="Tahoma"/>
      <family val="2"/>
    </font>
    <font>
      <sz val="10"/>
      <color theme="0" tint="-0.499984740745262"/>
      <name val="Tahoma"/>
      <family val="2"/>
    </font>
    <font>
      <b/>
      <sz val="14"/>
      <color theme="0"/>
      <name val="Tahoma"/>
      <family val="2"/>
    </font>
    <font>
      <sz val="9.5"/>
      <color theme="1"/>
      <name val="Tahoma"/>
      <family val="2"/>
    </font>
    <font>
      <b/>
      <sz val="14"/>
      <name val="Tahoma"/>
      <family val="2"/>
    </font>
    <font>
      <b/>
      <sz val="14"/>
      <color theme="1"/>
      <name val="Tahoma"/>
      <family val="2"/>
    </font>
    <font>
      <b/>
      <sz val="10"/>
      <color theme="0" tint="-0.499984740745262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3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medium">
        <color theme="9" tint="-0.24994659260841701"/>
      </left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/>
      </left>
      <right/>
      <top style="medium">
        <color theme="9"/>
      </top>
      <bottom/>
      <diagonal/>
    </border>
    <border>
      <left/>
      <right style="medium">
        <color theme="9"/>
      </right>
      <top style="medium">
        <color theme="9"/>
      </top>
      <bottom/>
      <diagonal/>
    </border>
    <border>
      <left style="medium">
        <color theme="9"/>
      </left>
      <right/>
      <top/>
      <bottom/>
      <diagonal/>
    </border>
    <border>
      <left/>
      <right style="medium">
        <color theme="9"/>
      </right>
      <top/>
      <bottom/>
      <diagonal/>
    </border>
    <border>
      <left style="medium">
        <color theme="9"/>
      </left>
      <right/>
      <top/>
      <bottom style="medium">
        <color theme="9"/>
      </bottom>
      <diagonal/>
    </border>
    <border>
      <left/>
      <right style="medium">
        <color theme="9"/>
      </right>
      <top/>
      <bottom style="medium">
        <color theme="9"/>
      </bottom>
      <diagonal/>
    </border>
    <border>
      <left/>
      <right style="medium">
        <color theme="9" tint="-0.24994659260841701"/>
      </right>
      <top style="hair">
        <color theme="9" tint="-0.24994659260841701"/>
      </top>
      <bottom style="hair">
        <color theme="9" tint="-0.24994659260841701"/>
      </bottom>
      <diagonal/>
    </border>
    <border>
      <left/>
      <right/>
      <top style="hair">
        <color theme="9" tint="-0.24994659260841701"/>
      </top>
      <bottom style="hair">
        <color theme="9" tint="-0.24994659260841701"/>
      </bottom>
      <diagonal/>
    </border>
    <border>
      <left style="medium">
        <color theme="9" tint="-0.24994659260841701"/>
      </left>
      <right style="medium">
        <color theme="9" tint="-0.24994659260841701"/>
      </right>
      <top/>
      <bottom style="medium">
        <color theme="9" tint="-0.24994659260841701"/>
      </bottom>
      <diagonal/>
    </border>
    <border>
      <left/>
      <right/>
      <top/>
      <bottom style="hair">
        <color theme="9" tint="-0.24994659260841701"/>
      </bottom>
      <diagonal/>
    </border>
    <border>
      <left/>
      <right style="medium">
        <color theme="9" tint="-0.24994659260841701"/>
      </right>
      <top/>
      <bottom style="hair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hair">
        <color theme="9" tint="-0.24994659260841701"/>
      </bottom>
      <diagonal/>
    </border>
  </borders>
  <cellStyleXfs count="1">
    <xf numFmtId="0" fontId="0" fillId="0" borderId="0"/>
  </cellStyleXfs>
  <cellXfs count="215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3" xfId="0" applyFont="1" applyBorder="1"/>
    <xf numFmtId="0" fontId="4" fillId="0" borderId="1" xfId="0" applyFont="1" applyBorder="1"/>
    <xf numFmtId="165" fontId="4" fillId="0" borderId="4" xfId="0" applyNumberFormat="1" applyFont="1" applyBorder="1" applyAlignment="1" applyProtection="1">
      <alignment horizontal="left"/>
      <protection locked="0"/>
    </xf>
    <xf numFmtId="3" fontId="4" fillId="0" borderId="4" xfId="0" applyNumberFormat="1" applyFont="1" applyBorder="1" applyAlignment="1" applyProtection="1">
      <alignment horizontal="left"/>
      <protection locked="0"/>
    </xf>
    <xf numFmtId="9" fontId="4" fillId="0" borderId="0" xfId="0" applyNumberFormat="1" applyFont="1"/>
    <xf numFmtId="9" fontId="4" fillId="0" borderId="4" xfId="0" applyNumberFormat="1" applyFont="1" applyBorder="1" applyAlignment="1" applyProtection="1">
      <alignment horizontal="right"/>
      <protection locked="0"/>
    </xf>
    <xf numFmtId="0" fontId="4" fillId="0" borderId="0" xfId="0" applyFont="1" applyProtection="1">
      <protection hidden="1"/>
    </xf>
    <xf numFmtId="0" fontId="8" fillId="0" borderId="0" xfId="0" applyFont="1" applyProtection="1">
      <protection hidden="1"/>
    </xf>
    <xf numFmtId="0" fontId="4" fillId="0" borderId="1" xfId="0" applyFont="1" applyBorder="1" applyProtection="1">
      <protection hidden="1"/>
    </xf>
    <xf numFmtId="0" fontId="3" fillId="0" borderId="0" xfId="0" applyFont="1" applyProtection="1">
      <protection hidden="1"/>
    </xf>
    <xf numFmtId="169" fontId="3" fillId="0" borderId="2" xfId="0" applyNumberFormat="1" applyFont="1" applyBorder="1" applyAlignment="1" applyProtection="1">
      <alignment horizontal="right"/>
      <protection hidden="1"/>
    </xf>
    <xf numFmtId="9" fontId="10" fillId="0" borderId="2" xfId="0" applyNumberFormat="1" applyFont="1" applyBorder="1" applyAlignment="1" applyProtection="1">
      <alignment horizontal="right"/>
      <protection hidden="1"/>
    </xf>
    <xf numFmtId="0" fontId="4" fillId="0" borderId="0" xfId="0" applyFont="1" applyAlignment="1" applyProtection="1">
      <alignment vertical="center"/>
      <protection hidden="1"/>
    </xf>
    <xf numFmtId="2" fontId="1" fillId="5" borderId="0" xfId="0" applyNumberFormat="1" applyFont="1" applyFill="1" applyAlignment="1" applyProtection="1">
      <alignment horizontal="center" vertical="center"/>
      <protection hidden="1"/>
    </xf>
    <xf numFmtId="168" fontId="1" fillId="5" borderId="0" xfId="0" applyNumberFormat="1" applyFont="1" applyFill="1" applyAlignment="1" applyProtection="1">
      <alignment horizontal="center" vertical="center"/>
      <protection hidden="1"/>
    </xf>
    <xf numFmtId="9" fontId="1" fillId="5" borderId="0" xfId="0" applyNumberFormat="1" applyFont="1" applyFill="1" applyAlignment="1" applyProtection="1">
      <alignment horizontal="center" vertical="center"/>
      <protection hidden="1"/>
    </xf>
    <xf numFmtId="2" fontId="1" fillId="5" borderId="0" xfId="0" applyNumberFormat="1" applyFont="1" applyFill="1" applyAlignment="1" applyProtection="1">
      <alignment horizontal="center" vertical="center" wrapText="1"/>
      <protection hidden="1"/>
    </xf>
    <xf numFmtId="9" fontId="3" fillId="3" borderId="1" xfId="0" applyNumberFormat="1" applyFont="1" applyFill="1" applyBorder="1" applyProtection="1">
      <protection hidden="1"/>
    </xf>
    <xf numFmtId="169" fontId="3" fillId="3" borderId="3" xfId="0" applyNumberFormat="1" applyFont="1" applyFill="1" applyBorder="1" applyAlignment="1" applyProtection="1">
      <alignment horizontal="right"/>
      <protection hidden="1"/>
    </xf>
    <xf numFmtId="1" fontId="3" fillId="3" borderId="3" xfId="0" applyNumberFormat="1" applyFont="1" applyFill="1" applyBorder="1" applyAlignment="1" applyProtection="1">
      <alignment horizontal="right"/>
      <protection hidden="1"/>
    </xf>
    <xf numFmtId="9" fontId="10" fillId="3" borderId="3" xfId="0" applyNumberFormat="1" applyFont="1" applyFill="1" applyBorder="1" applyAlignment="1" applyProtection="1">
      <alignment horizontal="right"/>
      <protection hidden="1"/>
    </xf>
    <xf numFmtId="165" fontId="8" fillId="3" borderId="3" xfId="0" applyNumberFormat="1" applyFont="1" applyFill="1" applyBorder="1" applyAlignment="1" applyProtection="1">
      <alignment horizontal="center"/>
      <protection hidden="1"/>
    </xf>
    <xf numFmtId="170" fontId="8" fillId="3" borderId="3" xfId="0" applyNumberFormat="1" applyFont="1" applyFill="1" applyBorder="1" applyAlignment="1" applyProtection="1">
      <alignment horizontal="center"/>
      <protection hidden="1"/>
    </xf>
    <xf numFmtId="0" fontId="5" fillId="0" borderId="0" xfId="0" applyFont="1" applyAlignment="1" applyProtection="1">
      <alignment vertical="center"/>
      <protection hidden="1"/>
    </xf>
    <xf numFmtId="169" fontId="11" fillId="3" borderId="1" xfId="0" applyNumberFormat="1" applyFont="1" applyFill="1" applyBorder="1" applyAlignment="1" applyProtection="1">
      <alignment horizontal="right"/>
      <protection hidden="1"/>
    </xf>
    <xf numFmtId="1" fontId="11" fillId="3" borderId="1" xfId="0" applyNumberFormat="1" applyFont="1" applyFill="1" applyBorder="1" applyAlignment="1" applyProtection="1">
      <alignment horizontal="right"/>
      <protection hidden="1"/>
    </xf>
    <xf numFmtId="9" fontId="11" fillId="3" borderId="1" xfId="0" applyNumberFormat="1" applyFont="1" applyFill="1" applyBorder="1" applyAlignment="1" applyProtection="1">
      <alignment horizontal="right"/>
      <protection hidden="1"/>
    </xf>
    <xf numFmtId="165" fontId="8" fillId="3" borderId="1" xfId="0" applyNumberFormat="1" applyFont="1" applyFill="1" applyBorder="1" applyAlignment="1" applyProtection="1">
      <alignment horizontal="center"/>
      <protection hidden="1"/>
    </xf>
    <xf numFmtId="170" fontId="8" fillId="3" borderId="1" xfId="0" applyNumberFormat="1" applyFont="1" applyFill="1" applyBorder="1" applyAlignment="1" applyProtection="1">
      <alignment horizontal="center"/>
      <protection hidden="1"/>
    </xf>
    <xf numFmtId="9" fontId="3" fillId="0" borderId="1" xfId="0" applyNumberFormat="1" applyFont="1" applyBorder="1" applyProtection="1">
      <protection hidden="1"/>
    </xf>
    <xf numFmtId="169" fontId="3" fillId="0" borderId="1" xfId="0" applyNumberFormat="1" applyFont="1" applyBorder="1" applyAlignment="1" applyProtection="1">
      <alignment horizontal="right"/>
      <protection hidden="1"/>
    </xf>
    <xf numFmtId="168" fontId="4" fillId="0" borderId="1" xfId="0" applyNumberFormat="1" applyFont="1" applyBorder="1" applyProtection="1">
      <protection hidden="1"/>
    </xf>
    <xf numFmtId="9" fontId="10" fillId="0" borderId="1" xfId="0" applyNumberFormat="1" applyFont="1" applyBorder="1" applyAlignment="1" applyProtection="1">
      <alignment horizontal="right"/>
      <protection hidden="1"/>
    </xf>
    <xf numFmtId="165" fontId="3" fillId="0" borderId="1" xfId="0" applyNumberFormat="1" applyFont="1" applyBorder="1" applyAlignment="1" applyProtection="1">
      <alignment horizontal="center"/>
      <protection hidden="1"/>
    </xf>
    <xf numFmtId="170" fontId="3" fillId="0" borderId="1" xfId="0" applyNumberFormat="1" applyFont="1" applyBorder="1" applyAlignment="1" applyProtection="1">
      <alignment horizontal="center"/>
      <protection hidden="1"/>
    </xf>
    <xf numFmtId="9" fontId="4" fillId="0" borderId="0" xfId="0" applyNumberFormat="1" applyFont="1" applyProtection="1">
      <protection hidden="1"/>
    </xf>
    <xf numFmtId="165" fontId="3" fillId="0" borderId="2" xfId="0" applyNumberFormat="1" applyFont="1" applyBorder="1" applyAlignment="1" applyProtection="1">
      <alignment horizontal="center"/>
      <protection hidden="1"/>
    </xf>
    <xf numFmtId="9" fontId="3" fillId="0" borderId="3" xfId="0" applyNumberFormat="1" applyFont="1" applyBorder="1" applyProtection="1">
      <protection hidden="1"/>
    </xf>
    <xf numFmtId="168" fontId="4" fillId="0" borderId="1" xfId="0" applyNumberFormat="1" applyFont="1" applyBorder="1" applyAlignment="1" applyProtection="1">
      <alignment horizontal="right"/>
      <protection hidden="1"/>
    </xf>
    <xf numFmtId="169" fontId="4" fillId="0" borderId="0" xfId="0" applyNumberFormat="1" applyFont="1" applyProtection="1">
      <protection hidden="1"/>
    </xf>
    <xf numFmtId="167" fontId="10" fillId="0" borderId="1" xfId="0" applyNumberFormat="1" applyFont="1" applyBorder="1" applyAlignment="1" applyProtection="1">
      <alignment horizontal="right"/>
      <protection hidden="1"/>
    </xf>
    <xf numFmtId="168" fontId="12" fillId="0" borderId="1" xfId="0" applyNumberFormat="1" applyFont="1" applyBorder="1" applyProtection="1">
      <protection hidden="1"/>
    </xf>
    <xf numFmtId="0" fontId="12" fillId="0" borderId="0" xfId="0" applyFont="1" applyProtection="1">
      <protection hidden="1"/>
    </xf>
    <xf numFmtId="165" fontId="8" fillId="0" borderId="1" xfId="0" applyNumberFormat="1" applyFont="1" applyBorder="1" applyAlignment="1" applyProtection="1">
      <alignment horizontal="center"/>
      <protection hidden="1"/>
    </xf>
    <xf numFmtId="170" fontId="8" fillId="0" borderId="1" xfId="0" applyNumberFormat="1" applyFont="1" applyBorder="1" applyAlignment="1" applyProtection="1">
      <alignment horizontal="center"/>
      <protection hidden="1"/>
    </xf>
    <xf numFmtId="9" fontId="10" fillId="0" borderId="1" xfId="0" applyNumberFormat="1" applyFont="1" applyBorder="1" applyProtection="1">
      <protection hidden="1"/>
    </xf>
    <xf numFmtId="167" fontId="3" fillId="0" borderId="1" xfId="0" applyNumberFormat="1" applyFont="1" applyBorder="1" applyAlignment="1" applyProtection="1">
      <alignment horizontal="right"/>
      <protection hidden="1"/>
    </xf>
    <xf numFmtId="169" fontId="3" fillId="3" borderId="1" xfId="0" applyNumberFormat="1" applyFont="1" applyFill="1" applyBorder="1" applyProtection="1">
      <protection hidden="1"/>
    </xf>
    <xf numFmtId="168" fontId="3" fillId="3" borderId="1" xfId="0" applyNumberFormat="1" applyFont="1" applyFill="1" applyBorder="1" applyProtection="1">
      <protection hidden="1"/>
    </xf>
    <xf numFmtId="167" fontId="10" fillId="3" borderId="1" xfId="0" applyNumberFormat="1" applyFont="1" applyFill="1" applyBorder="1" applyProtection="1">
      <protection hidden="1"/>
    </xf>
    <xf numFmtId="9" fontId="4" fillId="0" borderId="1" xfId="0" applyNumberFormat="1" applyFont="1" applyBorder="1" applyProtection="1">
      <protection hidden="1"/>
    </xf>
    <xf numFmtId="0" fontId="3" fillId="0" borderId="1" xfId="0" applyFont="1" applyBorder="1" applyProtection="1">
      <protection hidden="1"/>
    </xf>
    <xf numFmtId="164" fontId="3" fillId="0" borderId="1" xfId="0" applyNumberFormat="1" applyFont="1" applyBorder="1" applyProtection="1">
      <protection hidden="1"/>
    </xf>
    <xf numFmtId="167" fontId="10" fillId="0" borderId="1" xfId="0" applyNumberFormat="1" applyFont="1" applyBorder="1" applyProtection="1">
      <protection hidden="1"/>
    </xf>
    <xf numFmtId="1" fontId="3" fillId="0" borderId="1" xfId="0" applyNumberFormat="1" applyFont="1" applyBorder="1" applyAlignment="1" applyProtection="1">
      <alignment horizontal="center"/>
      <protection hidden="1"/>
    </xf>
    <xf numFmtId="164" fontId="3" fillId="3" borderId="1" xfId="0" applyNumberFormat="1" applyFont="1" applyFill="1" applyBorder="1" applyProtection="1">
      <protection hidden="1"/>
    </xf>
    <xf numFmtId="1" fontId="3" fillId="3" borderId="1" xfId="0" applyNumberFormat="1" applyFont="1" applyFill="1" applyBorder="1" applyProtection="1">
      <protection hidden="1"/>
    </xf>
    <xf numFmtId="0" fontId="6" fillId="0" borderId="0" xfId="0" applyFont="1" applyAlignment="1" applyProtection="1">
      <alignment horizontal="right"/>
      <protection hidden="1"/>
    </xf>
    <xf numFmtId="9" fontId="7" fillId="2" borderId="5" xfId="0" applyNumberFormat="1" applyFont="1" applyFill="1" applyBorder="1" applyProtection="1">
      <protection hidden="1"/>
    </xf>
    <xf numFmtId="9" fontId="4" fillId="3" borderId="4" xfId="0" applyNumberFormat="1" applyFont="1" applyFill="1" applyBorder="1" applyAlignment="1" applyProtection="1">
      <alignment horizontal="right"/>
      <protection locked="0"/>
    </xf>
    <xf numFmtId="167" fontId="12" fillId="0" borderId="1" xfId="0" applyNumberFormat="1" applyFont="1" applyBorder="1" applyAlignment="1" applyProtection="1">
      <alignment horizontal="right"/>
      <protection hidden="1"/>
    </xf>
    <xf numFmtId="165" fontId="12" fillId="0" borderId="1" xfId="0" applyNumberFormat="1" applyFont="1" applyBorder="1" applyAlignment="1" applyProtection="1">
      <alignment horizontal="center"/>
      <protection hidden="1"/>
    </xf>
    <xf numFmtId="170" fontId="12" fillId="0" borderId="1" xfId="0" applyNumberFormat="1" applyFont="1" applyBorder="1" applyAlignment="1" applyProtection="1">
      <alignment horizontal="center"/>
      <protection hidden="1"/>
    </xf>
    <xf numFmtId="9" fontId="8" fillId="0" borderId="1" xfId="0" applyNumberFormat="1" applyFont="1" applyBorder="1" applyProtection="1">
      <protection hidden="1"/>
    </xf>
    <xf numFmtId="169" fontId="8" fillId="0" borderId="1" xfId="0" applyNumberFormat="1" applyFont="1" applyBorder="1" applyAlignment="1" applyProtection="1">
      <alignment horizontal="right"/>
      <protection hidden="1"/>
    </xf>
    <xf numFmtId="168" fontId="8" fillId="0" borderId="1" xfId="0" applyNumberFormat="1" applyFont="1" applyBorder="1" applyProtection="1">
      <protection hidden="1"/>
    </xf>
    <xf numFmtId="9" fontId="8" fillId="0" borderId="1" xfId="0" applyNumberFormat="1" applyFont="1" applyBorder="1" applyAlignment="1" applyProtection="1">
      <alignment horizontal="right"/>
      <protection hidden="1"/>
    </xf>
    <xf numFmtId="0" fontId="8" fillId="0" borderId="1" xfId="0" applyFont="1" applyBorder="1" applyProtection="1">
      <protection hidden="1"/>
    </xf>
    <xf numFmtId="167" fontId="8" fillId="0" borderId="1" xfId="0" applyNumberFormat="1" applyFont="1" applyBorder="1" applyProtection="1">
      <protection hidden="1"/>
    </xf>
    <xf numFmtId="164" fontId="8" fillId="0" borderId="1" xfId="0" applyNumberFormat="1" applyFont="1" applyBorder="1" applyProtection="1">
      <protection hidden="1"/>
    </xf>
    <xf numFmtId="0" fontId="4" fillId="0" borderId="0" xfId="0" applyFont="1" applyAlignment="1">
      <alignment wrapText="1"/>
    </xf>
    <xf numFmtId="170" fontId="3" fillId="3" borderId="1" xfId="0" applyNumberFormat="1" applyFont="1" applyFill="1" applyBorder="1" applyAlignment="1" applyProtection="1">
      <alignment horizontal="center"/>
      <protection hidden="1"/>
    </xf>
    <xf numFmtId="165" fontId="3" fillId="3" borderId="1" xfId="0" applyNumberFormat="1" applyFont="1" applyFill="1" applyBorder="1" applyAlignment="1" applyProtection="1">
      <alignment horizontal="center"/>
      <protection hidden="1"/>
    </xf>
    <xf numFmtId="0" fontId="12" fillId="0" borderId="1" xfId="0" applyFont="1" applyBorder="1" applyProtection="1">
      <protection hidden="1"/>
    </xf>
    <xf numFmtId="9" fontId="3" fillId="0" borderId="0" xfId="0" applyNumberFormat="1" applyFont="1" applyProtection="1">
      <protection hidden="1"/>
    </xf>
    <xf numFmtId="0" fontId="4" fillId="0" borderId="1" xfId="0" applyFont="1" applyBorder="1" applyAlignment="1">
      <alignment horizontal="right"/>
    </xf>
    <xf numFmtId="166" fontId="12" fillId="0" borderId="1" xfId="0" applyNumberFormat="1" applyFont="1" applyBorder="1" applyAlignment="1" applyProtection="1">
      <alignment horizontal="right"/>
      <protection hidden="1"/>
    </xf>
    <xf numFmtId="168" fontId="4" fillId="0" borderId="2" xfId="0" applyNumberFormat="1" applyFont="1" applyBorder="1" applyProtection="1">
      <protection hidden="1"/>
    </xf>
    <xf numFmtId="9" fontId="3" fillId="0" borderId="2" xfId="0" applyNumberFormat="1" applyFont="1" applyBorder="1" applyProtection="1">
      <protection hidden="1"/>
    </xf>
    <xf numFmtId="9" fontId="8" fillId="0" borderId="2" xfId="0" applyNumberFormat="1" applyFont="1" applyBorder="1" applyProtection="1">
      <protection hidden="1"/>
    </xf>
    <xf numFmtId="172" fontId="4" fillId="0" borderId="0" xfId="0" applyNumberFormat="1" applyFont="1"/>
    <xf numFmtId="0" fontId="4" fillId="0" borderId="15" xfId="0" applyFont="1" applyBorder="1"/>
    <xf numFmtId="0" fontId="4" fillId="0" borderId="14" xfId="0" applyFont="1" applyBorder="1"/>
    <xf numFmtId="169" fontId="3" fillId="3" borderId="1" xfId="0" applyNumberFormat="1" applyFont="1" applyFill="1" applyBorder="1" applyAlignment="1" applyProtection="1">
      <alignment horizontal="right"/>
      <protection hidden="1"/>
    </xf>
    <xf numFmtId="1" fontId="3" fillId="3" borderId="1" xfId="0" applyNumberFormat="1" applyFont="1" applyFill="1" applyBorder="1" applyAlignment="1" applyProtection="1">
      <alignment horizontal="right"/>
      <protection hidden="1"/>
    </xf>
    <xf numFmtId="0" fontId="4" fillId="3" borderId="1" xfId="0" applyFont="1" applyFill="1" applyBorder="1" applyProtection="1">
      <protection hidden="1"/>
    </xf>
    <xf numFmtId="169" fontId="3" fillId="0" borderId="3" xfId="0" applyNumberFormat="1" applyFont="1" applyBorder="1" applyAlignment="1" applyProtection="1">
      <alignment horizontal="right"/>
      <protection hidden="1"/>
    </xf>
    <xf numFmtId="168" fontId="4" fillId="0" borderId="3" xfId="0" applyNumberFormat="1" applyFont="1" applyBorder="1" applyProtection="1">
      <protection hidden="1"/>
    </xf>
    <xf numFmtId="9" fontId="10" fillId="0" borderId="3" xfId="0" applyNumberFormat="1" applyFont="1" applyBorder="1" applyAlignment="1" applyProtection="1">
      <alignment horizontal="right"/>
      <protection hidden="1"/>
    </xf>
    <xf numFmtId="165" fontId="3" fillId="0" borderId="3" xfId="0" applyNumberFormat="1" applyFont="1" applyBorder="1" applyAlignment="1" applyProtection="1">
      <alignment horizontal="center"/>
      <protection hidden="1"/>
    </xf>
    <xf numFmtId="0" fontId="4" fillId="0" borderId="3" xfId="0" applyFont="1" applyBorder="1" applyProtection="1">
      <protection hidden="1"/>
    </xf>
    <xf numFmtId="9" fontId="3" fillId="4" borderId="1" xfId="0" applyNumberFormat="1" applyFont="1" applyFill="1" applyBorder="1" applyProtection="1">
      <protection hidden="1"/>
    </xf>
    <xf numFmtId="169" fontId="3" fillId="4" borderId="3" xfId="0" applyNumberFormat="1" applyFont="1" applyFill="1" applyBorder="1" applyAlignment="1" applyProtection="1">
      <alignment horizontal="right"/>
      <protection hidden="1"/>
    </xf>
    <xf numFmtId="1" fontId="3" fillId="4" borderId="3" xfId="0" applyNumberFormat="1" applyFont="1" applyFill="1" applyBorder="1" applyAlignment="1" applyProtection="1">
      <alignment horizontal="right"/>
      <protection hidden="1"/>
    </xf>
    <xf numFmtId="9" fontId="10" fillId="4" borderId="3" xfId="0" applyNumberFormat="1" applyFont="1" applyFill="1" applyBorder="1" applyAlignment="1" applyProtection="1">
      <alignment horizontal="right"/>
      <protection hidden="1"/>
    </xf>
    <xf numFmtId="165" fontId="8" fillId="4" borderId="3" xfId="0" applyNumberFormat="1" applyFont="1" applyFill="1" applyBorder="1" applyAlignment="1" applyProtection="1">
      <alignment horizontal="center"/>
      <protection hidden="1"/>
    </xf>
    <xf numFmtId="170" fontId="8" fillId="4" borderId="3" xfId="0" applyNumberFormat="1" applyFont="1" applyFill="1" applyBorder="1" applyAlignment="1" applyProtection="1">
      <alignment horizontal="center"/>
      <protection hidden="1"/>
    </xf>
    <xf numFmtId="9" fontId="8" fillId="4" borderId="1" xfId="0" applyNumberFormat="1" applyFont="1" applyFill="1" applyBorder="1" applyProtection="1">
      <protection hidden="1"/>
    </xf>
    <xf numFmtId="170" fontId="3" fillId="0" borderId="3" xfId="0" applyNumberFormat="1" applyFont="1" applyBorder="1" applyAlignment="1" applyProtection="1">
      <alignment horizontal="center"/>
      <protection hidden="1"/>
    </xf>
    <xf numFmtId="169" fontId="11" fillId="3" borderId="3" xfId="0" applyNumberFormat="1" applyFont="1" applyFill="1" applyBorder="1" applyAlignment="1" applyProtection="1">
      <alignment horizontal="right"/>
      <protection hidden="1"/>
    </xf>
    <xf numFmtId="9" fontId="11" fillId="3" borderId="3" xfId="0" applyNumberFormat="1" applyFont="1" applyFill="1" applyBorder="1" applyAlignment="1" applyProtection="1">
      <alignment horizontal="right"/>
      <protection hidden="1"/>
    </xf>
    <xf numFmtId="170" fontId="3" fillId="4" borderId="3" xfId="0" applyNumberFormat="1" applyFont="1" applyFill="1" applyBorder="1" applyAlignment="1" applyProtection="1">
      <alignment horizontal="center"/>
      <protection hidden="1"/>
    </xf>
    <xf numFmtId="168" fontId="11" fillId="3" borderId="1" xfId="0" applyNumberFormat="1" applyFont="1" applyFill="1" applyBorder="1" applyAlignment="1" applyProtection="1">
      <alignment horizontal="right"/>
      <protection hidden="1"/>
    </xf>
    <xf numFmtId="165" fontId="11" fillId="3" borderId="1" xfId="0" applyNumberFormat="1" applyFont="1" applyFill="1" applyBorder="1" applyAlignment="1" applyProtection="1">
      <alignment horizontal="center"/>
      <protection hidden="1"/>
    </xf>
    <xf numFmtId="14" fontId="4" fillId="0" borderId="16" xfId="0" applyNumberFormat="1" applyFont="1" applyBorder="1" applyAlignment="1" applyProtection="1">
      <alignment horizontal="left"/>
      <protection locked="0"/>
    </xf>
    <xf numFmtId="9" fontId="4" fillId="0" borderId="16" xfId="0" applyNumberFormat="1" applyFont="1" applyBorder="1" applyAlignment="1" applyProtection="1">
      <alignment horizontal="right"/>
      <protection locked="0"/>
    </xf>
    <xf numFmtId="0" fontId="4" fillId="0" borderId="17" xfId="0" applyFont="1" applyBorder="1"/>
    <xf numFmtId="168" fontId="4" fillId="0" borderId="3" xfId="0" applyNumberFormat="1" applyFont="1" applyBorder="1" applyAlignment="1" applyProtection="1">
      <alignment horizontal="right"/>
      <protection hidden="1"/>
    </xf>
    <xf numFmtId="0" fontId="2" fillId="0" borderId="0" xfId="0" applyFont="1" applyAlignment="1">
      <alignment horizontal="left" vertical="top" wrapText="1"/>
    </xf>
    <xf numFmtId="0" fontId="4" fillId="0" borderId="20" xfId="0" applyFont="1" applyBorder="1"/>
    <xf numFmtId="0" fontId="4" fillId="0" borderId="19" xfId="0" applyFont="1" applyBorder="1"/>
    <xf numFmtId="169" fontId="3" fillId="0" borderId="0" xfId="0" applyNumberFormat="1" applyFont="1" applyAlignment="1" applyProtection="1">
      <alignment horizontal="right"/>
      <protection hidden="1"/>
    </xf>
    <xf numFmtId="168" fontId="4" fillId="0" borderId="0" xfId="0" applyNumberFormat="1" applyFont="1" applyProtection="1">
      <protection hidden="1"/>
    </xf>
    <xf numFmtId="9" fontId="10" fillId="0" borderId="0" xfId="0" applyNumberFormat="1" applyFont="1" applyAlignment="1" applyProtection="1">
      <alignment horizontal="right"/>
      <protection hidden="1"/>
    </xf>
    <xf numFmtId="165" fontId="3" fillId="0" borderId="0" xfId="0" applyNumberFormat="1" applyFont="1" applyAlignment="1" applyProtection="1">
      <alignment horizontal="center"/>
      <protection hidden="1"/>
    </xf>
    <xf numFmtId="168" fontId="3" fillId="4" borderId="1" xfId="0" applyNumberFormat="1" applyFont="1" applyFill="1" applyBorder="1" applyProtection="1">
      <protection hidden="1"/>
    </xf>
    <xf numFmtId="167" fontId="10" fillId="4" borderId="1" xfId="0" applyNumberFormat="1" applyFont="1" applyFill="1" applyBorder="1" applyProtection="1">
      <protection hidden="1"/>
    </xf>
    <xf numFmtId="165" fontId="3" fillId="4" borderId="1" xfId="0" applyNumberFormat="1" applyFont="1" applyFill="1" applyBorder="1" applyAlignment="1" applyProtection="1">
      <alignment horizontal="center"/>
      <protection hidden="1"/>
    </xf>
    <xf numFmtId="170" fontId="3" fillId="4" borderId="1" xfId="0" applyNumberFormat="1" applyFont="1" applyFill="1" applyBorder="1" applyAlignment="1" applyProtection="1">
      <alignment horizontal="center"/>
      <protection hidden="1"/>
    </xf>
    <xf numFmtId="0" fontId="2" fillId="0" borderId="0" xfId="0" applyFont="1" applyProtection="1">
      <protection hidden="1"/>
    </xf>
    <xf numFmtId="10" fontId="3" fillId="0" borderId="0" xfId="0" applyNumberFormat="1" applyFont="1" applyProtection="1">
      <protection hidden="1"/>
    </xf>
    <xf numFmtId="166" fontId="3" fillId="0" borderId="0" xfId="0" applyNumberFormat="1" applyFont="1" applyProtection="1">
      <protection hidden="1"/>
    </xf>
    <xf numFmtId="169" fontId="7" fillId="0" borderId="1" xfId="0" applyNumberFormat="1" applyFont="1" applyBorder="1" applyAlignment="1" applyProtection="1">
      <alignment horizontal="right"/>
      <protection hidden="1"/>
    </xf>
    <xf numFmtId="168" fontId="3" fillId="4" borderId="3" xfId="0" applyNumberFormat="1" applyFont="1" applyFill="1" applyBorder="1" applyAlignment="1" applyProtection="1">
      <alignment horizontal="right"/>
      <protection hidden="1"/>
    </xf>
    <xf numFmtId="1" fontId="4" fillId="0" borderId="0" xfId="0" applyNumberFormat="1" applyFont="1" applyAlignment="1" applyProtection="1">
      <alignment horizontal="center"/>
      <protection hidden="1"/>
    </xf>
    <xf numFmtId="172" fontId="4" fillId="0" borderId="1" xfId="0" applyNumberFormat="1" applyFont="1" applyBorder="1" applyAlignment="1" applyProtection="1">
      <alignment horizontal="right"/>
      <protection hidden="1"/>
    </xf>
    <xf numFmtId="0" fontId="8" fillId="0" borderId="0" xfId="0" applyFont="1"/>
    <xf numFmtId="9" fontId="9" fillId="0" borderId="0" xfId="0" applyNumberFormat="1" applyFont="1" applyAlignment="1" applyProtection="1">
      <alignment horizontal="left"/>
      <protection hidden="1"/>
    </xf>
    <xf numFmtId="171" fontId="4" fillId="0" borderId="0" xfId="0" applyNumberFormat="1" applyFont="1" applyAlignment="1">
      <alignment horizontal="left"/>
    </xf>
    <xf numFmtId="172" fontId="4" fillId="0" borderId="0" xfId="0" applyNumberFormat="1" applyFont="1" applyAlignment="1">
      <alignment horizontal="left"/>
    </xf>
    <xf numFmtId="9" fontId="14" fillId="0" borderId="0" xfId="0" applyNumberFormat="1" applyFont="1"/>
    <xf numFmtId="165" fontId="8" fillId="0" borderId="0" xfId="0" applyNumberFormat="1" applyFont="1" applyAlignment="1" applyProtection="1">
      <alignment horizontal="left"/>
      <protection hidden="1"/>
    </xf>
    <xf numFmtId="0" fontId="1" fillId="2" borderId="21" xfId="0" applyFont="1" applyFill="1" applyBorder="1"/>
    <xf numFmtId="9" fontId="1" fillId="2" borderId="16" xfId="0" applyNumberFormat="1" applyFont="1" applyFill="1" applyBorder="1"/>
    <xf numFmtId="165" fontId="3" fillId="4" borderId="3" xfId="0" applyNumberFormat="1" applyFont="1" applyFill="1" applyBorder="1" applyAlignment="1" applyProtection="1">
      <alignment horizontal="center"/>
      <protection hidden="1"/>
    </xf>
    <xf numFmtId="168" fontId="3" fillId="0" borderId="1" xfId="0" applyNumberFormat="1" applyFont="1" applyBorder="1" applyProtection="1">
      <protection hidden="1"/>
    </xf>
    <xf numFmtId="9" fontId="4" fillId="4" borderId="1" xfId="0" applyNumberFormat="1" applyFont="1" applyFill="1" applyBorder="1" applyProtection="1">
      <protection hidden="1"/>
    </xf>
    <xf numFmtId="169" fontId="4" fillId="4" borderId="1" xfId="0" applyNumberFormat="1" applyFont="1" applyFill="1" applyBorder="1" applyAlignment="1" applyProtection="1">
      <alignment horizontal="right"/>
      <protection hidden="1"/>
    </xf>
    <xf numFmtId="9" fontId="4" fillId="4" borderId="1" xfId="0" applyNumberFormat="1" applyFont="1" applyFill="1" applyBorder="1" applyAlignment="1" applyProtection="1">
      <alignment horizontal="right"/>
      <protection hidden="1"/>
    </xf>
    <xf numFmtId="165" fontId="4" fillId="4" borderId="1" xfId="0" applyNumberFormat="1" applyFont="1" applyFill="1" applyBorder="1" applyAlignment="1" applyProtection="1">
      <alignment horizontal="center"/>
      <protection hidden="1"/>
    </xf>
    <xf numFmtId="170" fontId="4" fillId="4" borderId="1" xfId="0" applyNumberFormat="1" applyFont="1" applyFill="1" applyBorder="1" applyAlignment="1" applyProtection="1">
      <alignment horizontal="center"/>
      <protection hidden="1"/>
    </xf>
    <xf numFmtId="167" fontId="7" fillId="0" borderId="1" xfId="0" applyNumberFormat="1" applyFont="1" applyBorder="1" applyAlignment="1" applyProtection="1">
      <alignment horizontal="right"/>
      <protection hidden="1"/>
    </xf>
    <xf numFmtId="166" fontId="3" fillId="4" borderId="3" xfId="0" applyNumberFormat="1" applyFont="1" applyFill="1" applyBorder="1" applyAlignment="1" applyProtection="1">
      <alignment horizontal="right"/>
      <protection hidden="1"/>
    </xf>
    <xf numFmtId="172" fontId="3" fillId="4" borderId="3" xfId="0" applyNumberFormat="1" applyFont="1" applyFill="1" applyBorder="1" applyAlignment="1" applyProtection="1">
      <alignment horizontal="right"/>
      <protection hidden="1"/>
    </xf>
    <xf numFmtId="9" fontId="2" fillId="3" borderId="1" xfId="0" applyNumberFormat="1" applyFont="1" applyFill="1" applyBorder="1" applyProtection="1">
      <protection hidden="1"/>
    </xf>
    <xf numFmtId="9" fontId="6" fillId="0" borderId="18" xfId="0" applyNumberFormat="1" applyFont="1" applyBorder="1"/>
    <xf numFmtId="9" fontId="6" fillId="0" borderId="14" xfId="0" applyNumberFormat="1" applyFont="1" applyBorder="1"/>
    <xf numFmtId="0" fontId="14" fillId="0" borderId="0" xfId="0" applyFont="1"/>
    <xf numFmtId="0" fontId="5" fillId="0" borderId="0" xfId="0" applyFont="1"/>
    <xf numFmtId="0" fontId="5" fillId="0" borderId="3" xfId="0" applyFont="1" applyBorder="1"/>
    <xf numFmtId="0" fontId="15" fillId="0" borderId="0" xfId="0" applyFont="1"/>
    <xf numFmtId="172" fontId="15" fillId="0" borderId="0" xfId="0" applyNumberFormat="1" applyFont="1"/>
    <xf numFmtId="171" fontId="15" fillId="0" borderId="0" xfId="0" applyNumberFormat="1" applyFont="1"/>
    <xf numFmtId="0" fontId="16" fillId="0" borderId="0" xfId="0" applyFont="1"/>
    <xf numFmtId="0" fontId="17" fillId="0" borderId="0" xfId="0" applyFont="1"/>
    <xf numFmtId="172" fontId="16" fillId="0" borderId="0" xfId="0" applyNumberFormat="1" applyFont="1"/>
    <xf numFmtId="0" fontId="16" fillId="0" borderId="8" xfId="0" applyFont="1" applyBorder="1"/>
    <xf numFmtId="173" fontId="15" fillId="0" borderId="9" xfId="0" applyNumberFormat="1" applyFont="1" applyBorder="1"/>
    <xf numFmtId="0" fontId="16" fillId="0" borderId="10" xfId="0" applyFont="1" applyBorder="1"/>
    <xf numFmtId="173" fontId="15" fillId="0" borderId="11" xfId="0" applyNumberFormat="1" applyFont="1" applyBorder="1"/>
    <xf numFmtId="0" fontId="16" fillId="0" borderId="12" xfId="0" applyFont="1" applyBorder="1"/>
    <xf numFmtId="173" fontId="15" fillId="0" borderId="13" xfId="0" applyNumberFormat="1" applyFont="1" applyBorder="1"/>
    <xf numFmtId="173" fontId="15" fillId="0" borderId="0" xfId="0" applyNumberFormat="1" applyFont="1"/>
    <xf numFmtId="9" fontId="15" fillId="0" borderId="0" xfId="0" applyNumberFormat="1" applyFont="1"/>
    <xf numFmtId="0" fontId="3" fillId="0" borderId="0" xfId="0" applyFont="1"/>
    <xf numFmtId="9" fontId="3" fillId="0" borderId="0" xfId="0" applyNumberFormat="1" applyFont="1" applyAlignment="1" applyProtection="1">
      <alignment horizontal="left"/>
      <protection hidden="1"/>
    </xf>
    <xf numFmtId="0" fontId="4" fillId="4" borderId="1" xfId="0" applyFont="1" applyFill="1" applyBorder="1"/>
    <xf numFmtId="9" fontId="4" fillId="0" borderId="22" xfId="0" applyNumberFormat="1" applyFont="1" applyBorder="1" applyAlignment="1" applyProtection="1">
      <alignment horizontal="right"/>
      <protection hidden="1"/>
    </xf>
    <xf numFmtId="169" fontId="10" fillId="0" borderId="1" xfId="0" applyNumberFormat="1" applyFont="1" applyBorder="1" applyAlignment="1" applyProtection="1">
      <alignment horizontal="right"/>
      <protection hidden="1"/>
    </xf>
    <xf numFmtId="168" fontId="10" fillId="0" borderId="1" xfId="0" applyNumberFormat="1" applyFont="1" applyBorder="1" applyProtection="1">
      <protection hidden="1"/>
    </xf>
    <xf numFmtId="9" fontId="18" fillId="0" borderId="1" xfId="0" applyNumberFormat="1" applyFont="1" applyBorder="1" applyProtection="1">
      <protection hidden="1"/>
    </xf>
    <xf numFmtId="9" fontId="8" fillId="4" borderId="2" xfId="0" applyNumberFormat="1" applyFont="1" applyFill="1" applyBorder="1" applyProtection="1">
      <protection hidden="1"/>
    </xf>
    <xf numFmtId="169" fontId="3" fillId="4" borderId="0" xfId="0" applyNumberFormat="1" applyFont="1" applyFill="1" applyAlignment="1" applyProtection="1">
      <alignment horizontal="right"/>
      <protection hidden="1"/>
    </xf>
    <xf numFmtId="1" fontId="3" fillId="4" borderId="0" xfId="0" applyNumberFormat="1" applyFont="1" applyFill="1" applyAlignment="1" applyProtection="1">
      <alignment horizontal="right"/>
      <protection hidden="1"/>
    </xf>
    <xf numFmtId="9" fontId="10" fillId="4" borderId="0" xfId="0" applyNumberFormat="1" applyFont="1" applyFill="1" applyAlignment="1" applyProtection="1">
      <alignment horizontal="right"/>
      <protection hidden="1"/>
    </xf>
    <xf numFmtId="165" fontId="8" fillId="4" borderId="0" xfId="0" applyNumberFormat="1" applyFont="1" applyFill="1" applyAlignment="1" applyProtection="1">
      <alignment horizontal="center"/>
      <protection hidden="1"/>
    </xf>
    <xf numFmtId="169" fontId="3" fillId="2" borderId="6" xfId="0" applyNumberFormat="1" applyFont="1" applyFill="1" applyBorder="1" applyAlignment="1" applyProtection="1">
      <alignment horizontal="right"/>
      <protection hidden="1"/>
    </xf>
    <xf numFmtId="168" fontId="7" fillId="2" borderId="6" xfId="0" applyNumberFormat="1" applyFont="1" applyFill="1" applyBorder="1" applyAlignment="1" applyProtection="1">
      <alignment horizontal="right"/>
      <protection hidden="1"/>
    </xf>
    <xf numFmtId="9" fontId="7" fillId="2" borderId="6" xfId="0" applyNumberFormat="1" applyFont="1" applyFill="1" applyBorder="1" applyAlignment="1" applyProtection="1">
      <alignment horizontal="right"/>
      <protection hidden="1"/>
    </xf>
    <xf numFmtId="165" fontId="4" fillId="0" borderId="4" xfId="0" applyNumberFormat="1" applyFont="1" applyBorder="1" applyAlignment="1" applyProtection="1">
      <alignment horizontal="center"/>
      <protection locked="0"/>
    </xf>
    <xf numFmtId="9" fontId="3" fillId="4" borderId="2" xfId="0" applyNumberFormat="1" applyFont="1" applyFill="1" applyBorder="1" applyProtection="1">
      <protection hidden="1"/>
    </xf>
    <xf numFmtId="9" fontId="19" fillId="4" borderId="3" xfId="0" applyNumberFormat="1" applyFont="1" applyFill="1" applyBorder="1" applyProtection="1">
      <protection hidden="1"/>
    </xf>
    <xf numFmtId="0" fontId="21" fillId="3" borderId="0" xfId="0" applyFont="1" applyFill="1"/>
    <xf numFmtId="0" fontId="22" fillId="4" borderId="0" xfId="0" applyFont="1" applyFill="1" applyAlignment="1">
      <alignment vertical="center"/>
    </xf>
    <xf numFmtId="0" fontId="22" fillId="4" borderId="0" xfId="0" applyFont="1" applyFill="1" applyAlignment="1">
      <alignment horizontal="right" vertical="center"/>
    </xf>
    <xf numFmtId="169" fontId="22" fillId="4" borderId="0" xfId="0" applyNumberFormat="1" applyFont="1" applyFill="1" applyAlignment="1" applyProtection="1">
      <alignment horizontal="left" vertical="center"/>
      <protection hidden="1"/>
    </xf>
    <xf numFmtId="0" fontId="23" fillId="0" borderId="0" xfId="0" applyFont="1" applyAlignment="1">
      <alignment vertical="center"/>
    </xf>
    <xf numFmtId="169" fontId="19" fillId="4" borderId="3" xfId="0" applyNumberFormat="1" applyFont="1" applyFill="1" applyBorder="1" applyAlignment="1" applyProtection="1">
      <alignment horizontal="right"/>
      <protection hidden="1"/>
    </xf>
    <xf numFmtId="9" fontId="19" fillId="4" borderId="3" xfId="0" applyNumberFormat="1" applyFont="1" applyFill="1" applyBorder="1" applyAlignment="1" applyProtection="1">
      <alignment horizontal="right"/>
      <protection hidden="1"/>
    </xf>
    <xf numFmtId="165" fontId="19" fillId="4" borderId="3" xfId="0" applyNumberFormat="1" applyFont="1" applyFill="1" applyBorder="1" applyAlignment="1" applyProtection="1">
      <alignment horizontal="center"/>
      <protection hidden="1"/>
    </xf>
    <xf numFmtId="0" fontId="24" fillId="0" borderId="0" xfId="0" applyFont="1" applyAlignment="1" applyProtection="1">
      <alignment vertical="center"/>
      <protection hidden="1"/>
    </xf>
    <xf numFmtId="170" fontId="19" fillId="4" borderId="1" xfId="0" applyNumberFormat="1" applyFont="1" applyFill="1" applyBorder="1" applyAlignment="1" applyProtection="1">
      <alignment horizontal="center"/>
      <protection hidden="1"/>
    </xf>
    <xf numFmtId="167" fontId="10" fillId="4" borderId="3" xfId="0" applyNumberFormat="1" applyFont="1" applyFill="1" applyBorder="1" applyAlignment="1" applyProtection="1">
      <alignment horizontal="right"/>
      <protection hidden="1"/>
    </xf>
    <xf numFmtId="168" fontId="19" fillId="0" borderId="1" xfId="0" applyNumberFormat="1" applyFont="1" applyBorder="1" applyProtection="1">
      <protection hidden="1"/>
    </xf>
    <xf numFmtId="170" fontId="8" fillId="4" borderId="0" xfId="0" applyNumberFormat="1" applyFont="1" applyFill="1" applyAlignment="1" applyProtection="1">
      <alignment horizontal="center" vertical="center" textRotation="180" wrapText="1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9" fontId="4" fillId="0" borderId="0" xfId="0" applyNumberFormat="1" applyFont="1" applyAlignment="1" applyProtection="1">
      <alignment horizontal="center"/>
      <protection hidden="1"/>
    </xf>
    <xf numFmtId="167" fontId="7" fillId="4" borderId="3" xfId="0" applyNumberFormat="1" applyFont="1" applyFill="1" applyBorder="1" applyAlignment="1" applyProtection="1">
      <alignment horizontal="right"/>
      <protection hidden="1"/>
    </xf>
    <xf numFmtId="172" fontId="3" fillId="0" borderId="1" xfId="0" applyNumberFormat="1" applyFont="1" applyBorder="1" applyAlignment="1" applyProtection="1">
      <alignment horizontal="right"/>
      <protection hidden="1"/>
    </xf>
    <xf numFmtId="0" fontId="20" fillId="2" borderId="0" xfId="0" applyFont="1" applyFill="1" applyAlignment="1" applyProtection="1">
      <alignment horizontal="center" vertical="center" wrapText="1"/>
      <protection hidden="1"/>
    </xf>
    <xf numFmtId="0" fontId="20" fillId="2" borderId="0" xfId="0" applyFont="1" applyFill="1" applyAlignment="1" applyProtection="1">
      <alignment horizontal="center" vertical="center"/>
      <protection hidden="1"/>
    </xf>
    <xf numFmtId="0" fontId="2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9" fontId="1" fillId="2" borderId="5" xfId="0" applyNumberFormat="1" applyFont="1" applyFill="1" applyBorder="1" applyAlignment="1">
      <alignment horizontal="left" vertical="top" wrapText="1"/>
    </xf>
    <xf numFmtId="9" fontId="1" fillId="2" borderId="6" xfId="0" applyNumberFormat="1" applyFont="1" applyFill="1" applyBorder="1" applyAlignment="1">
      <alignment horizontal="left" vertical="top" wrapText="1"/>
    </xf>
    <xf numFmtId="9" fontId="1" fillId="2" borderId="7" xfId="0" applyNumberFormat="1" applyFont="1" applyFill="1" applyBorder="1" applyAlignment="1">
      <alignment horizontal="left" vertical="top" wrapText="1"/>
    </xf>
    <xf numFmtId="9" fontId="13" fillId="2" borderId="5" xfId="0" applyNumberFormat="1" applyFont="1" applyFill="1" applyBorder="1" applyAlignment="1">
      <alignment horizontal="left" vertical="top" wrapText="1"/>
    </xf>
    <xf numFmtId="9" fontId="13" fillId="2" borderId="6" xfId="0" applyNumberFormat="1" applyFont="1" applyFill="1" applyBorder="1" applyAlignment="1">
      <alignment horizontal="left" vertical="top" wrapText="1"/>
    </xf>
    <xf numFmtId="9" fontId="13" fillId="2" borderId="7" xfId="0" applyNumberFormat="1" applyFont="1" applyFill="1" applyBorder="1" applyAlignment="1">
      <alignment horizontal="left" vertical="top" wrapText="1"/>
    </xf>
    <xf numFmtId="170" fontId="8" fillId="4" borderId="2" xfId="0" applyNumberFormat="1" applyFont="1" applyFill="1" applyBorder="1" applyAlignment="1" applyProtection="1">
      <alignment horizontal="center" vertical="center" textRotation="180" wrapText="1"/>
      <protection hidden="1"/>
    </xf>
    <xf numFmtId="170" fontId="8" fillId="4" borderId="0" xfId="0" applyNumberFormat="1" applyFont="1" applyFill="1" applyAlignment="1" applyProtection="1">
      <alignment horizontal="center" vertical="center" textRotation="180" wrapText="1"/>
      <protection hidden="1"/>
    </xf>
  </cellXfs>
  <cellStyles count="1">
    <cellStyle name="Standard" xfId="0" builtinId="0"/>
  </cellStyles>
  <dxfs count="22">
    <dxf>
      <font>
        <color theme="2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9" tint="-0.24994659260841701"/>
      </font>
    </dxf>
    <dxf>
      <font>
        <strike val="0"/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74706</xdr:colOff>
      <xdr:row>61</xdr:row>
      <xdr:rowOff>80931</xdr:rowOff>
    </xdr:from>
    <xdr:to>
      <xdr:col>5</xdr:col>
      <xdr:colOff>211667</xdr:colOff>
      <xdr:row>97</xdr:row>
      <xdr:rowOff>93383</xdr:rowOff>
    </xdr:to>
    <xdr:sp macro="" textlink="">
      <xdr:nvSpPr>
        <xdr:cNvPr id="2" name="Geschweifte Klammer rechts 1">
          <a:extLst>
            <a:ext uri="{FF2B5EF4-FFF2-40B4-BE49-F238E27FC236}">
              <a16:creationId xmlns:a16="http://schemas.microsoft.com/office/drawing/2014/main" id="{D95D6CE6-94CA-2E81-3937-3AA8C14450F3}"/>
            </a:ext>
          </a:extLst>
        </xdr:cNvPr>
        <xdr:cNvSpPr/>
      </xdr:nvSpPr>
      <xdr:spPr>
        <a:xfrm>
          <a:off x="4868333" y="11075147"/>
          <a:ext cx="136961" cy="5677648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l"/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7B023-0847-413B-8C32-E96399C2E9FA}">
  <sheetPr codeName="Tabelle1"/>
  <dimension ref="A1:N189"/>
  <sheetViews>
    <sheetView tabSelected="1" zoomScale="102" zoomScaleNormal="135" workbookViewId="0">
      <selection activeCell="F5" sqref="F5"/>
    </sheetView>
  </sheetViews>
  <sheetFormatPr baseColWidth="10" defaultColWidth="10.81640625" defaultRowHeight="12" customHeight="1" x14ac:dyDescent="0.25"/>
  <cols>
    <col min="1" max="1" width="33.7265625" style="2" customWidth="1"/>
    <col min="2" max="5" width="8.7265625" style="2" customWidth="1"/>
    <col min="6" max="6" width="16.54296875" style="2" customWidth="1"/>
    <col min="7" max="16384" width="10.81640625" style="2"/>
  </cols>
  <sheetData>
    <row r="1" spans="1:11" s="1" customFormat="1" ht="50" customHeight="1" x14ac:dyDescent="0.25">
      <c r="A1" s="204" t="s">
        <v>129</v>
      </c>
      <c r="B1" s="204"/>
      <c r="C1" s="204"/>
      <c r="D1" s="204"/>
      <c r="E1" s="204"/>
      <c r="F1" s="204"/>
      <c r="K1" s="2"/>
    </row>
    <row r="2" spans="1:11" s="1" customFormat="1" ht="13" customHeight="1" thickBot="1" x14ac:dyDescent="0.3">
      <c r="A2" s="111"/>
      <c r="B2" s="111"/>
      <c r="C2" s="111"/>
      <c r="D2" s="111"/>
      <c r="E2" s="111"/>
      <c r="F2" s="111"/>
      <c r="K2" s="2"/>
    </row>
    <row r="3" spans="1:11" ht="13" customHeight="1" thickBot="1" x14ac:dyDescent="0.3">
      <c r="A3" s="207" t="s">
        <v>82</v>
      </c>
      <c r="B3" s="208"/>
      <c r="C3" s="208"/>
      <c r="D3" s="208"/>
      <c r="E3" s="208"/>
      <c r="F3" s="209"/>
    </row>
    <row r="4" spans="1:11" ht="13" customHeight="1" thickBot="1" x14ac:dyDescent="0.3">
      <c r="A4" s="3" t="s">
        <v>0</v>
      </c>
      <c r="B4" s="3"/>
      <c r="C4" s="3"/>
      <c r="D4" s="205" t="s">
        <v>73</v>
      </c>
      <c r="E4" s="205"/>
      <c r="F4" s="107">
        <v>46025</v>
      </c>
    </row>
    <row r="5" spans="1:11" ht="13" customHeight="1" thickBot="1" x14ac:dyDescent="0.3">
      <c r="A5" s="4" t="s">
        <v>1</v>
      </c>
      <c r="B5" s="4"/>
      <c r="C5" s="4"/>
      <c r="D5" s="206" t="s">
        <v>2</v>
      </c>
      <c r="E5" s="206"/>
      <c r="F5" s="5">
        <v>0.66666666666666663</v>
      </c>
    </row>
    <row r="6" spans="1:11" ht="13" customHeight="1" thickBot="1" x14ac:dyDescent="0.3">
      <c r="A6" s="4" t="s">
        <v>3</v>
      </c>
      <c r="B6" s="4"/>
      <c r="C6" s="4"/>
      <c r="D6" s="78"/>
      <c r="E6" s="78" t="s">
        <v>4</v>
      </c>
      <c r="F6" s="6">
        <v>500</v>
      </c>
    </row>
    <row r="7" spans="1:11" s="189" customFormat="1" ht="50" customHeight="1" thickBot="1" x14ac:dyDescent="0.4">
      <c r="A7" s="186"/>
      <c r="B7" s="186"/>
      <c r="C7" s="186"/>
      <c r="D7" s="186"/>
      <c r="E7" s="187" t="s">
        <v>5</v>
      </c>
      <c r="F7" s="188">
        <f>ROUNDDOWN(B101*86%,-1)</f>
        <v>720</v>
      </c>
    </row>
    <row r="8" spans="1:11" ht="13" customHeight="1" thickBot="1" x14ac:dyDescent="0.3">
      <c r="A8" s="207" t="s">
        <v>6</v>
      </c>
      <c r="B8" s="209"/>
      <c r="C8" s="7"/>
      <c r="D8" s="210" t="s">
        <v>93</v>
      </c>
      <c r="E8" s="211"/>
      <c r="F8" s="212"/>
    </row>
    <row r="9" spans="1:11" ht="13" customHeight="1" thickBot="1" x14ac:dyDescent="0.3">
      <c r="A9" s="3" t="s">
        <v>7</v>
      </c>
      <c r="B9" s="108">
        <v>0</v>
      </c>
      <c r="C9" s="7"/>
      <c r="D9" s="109" t="s">
        <v>101</v>
      </c>
      <c r="E9" s="148"/>
      <c r="F9" s="108">
        <v>0</v>
      </c>
    </row>
    <row r="10" spans="1:11" ht="13" customHeight="1" thickBot="1" x14ac:dyDescent="0.3">
      <c r="A10" s="4" t="s">
        <v>9</v>
      </c>
      <c r="B10" s="8">
        <v>0.75</v>
      </c>
      <c r="C10" s="7"/>
      <c r="D10" s="84" t="s">
        <v>51</v>
      </c>
      <c r="E10" s="85"/>
      <c r="F10" s="8">
        <v>0</v>
      </c>
    </row>
    <row r="11" spans="1:11" ht="13" customHeight="1" thickBot="1" x14ac:dyDescent="0.3">
      <c r="A11" s="4" t="s">
        <v>10</v>
      </c>
      <c r="B11" s="8">
        <v>0</v>
      </c>
      <c r="C11" s="7"/>
      <c r="D11" s="84" t="s">
        <v>106</v>
      </c>
      <c r="E11" s="85"/>
      <c r="F11" s="8">
        <v>0</v>
      </c>
    </row>
    <row r="12" spans="1:11" ht="13" customHeight="1" thickBot="1" x14ac:dyDescent="0.3">
      <c r="A12" s="20" t="s">
        <v>11</v>
      </c>
      <c r="B12" s="62">
        <v>0</v>
      </c>
      <c r="C12" s="7"/>
      <c r="D12" s="84" t="s">
        <v>108</v>
      </c>
      <c r="E12" s="149"/>
      <c r="F12" s="8">
        <v>0</v>
      </c>
    </row>
    <row r="13" spans="1:11" ht="13" customHeight="1" thickBot="1" x14ac:dyDescent="0.3">
      <c r="A13" s="20" t="s">
        <v>12</v>
      </c>
      <c r="B13" s="62">
        <v>0</v>
      </c>
      <c r="C13" s="7"/>
      <c r="D13" s="112" t="s">
        <v>68</v>
      </c>
      <c r="E13" s="113"/>
      <c r="F13" s="8">
        <v>0</v>
      </c>
    </row>
    <row r="14" spans="1:11" ht="13" customHeight="1" thickBot="1" x14ac:dyDescent="0.3">
      <c r="A14" s="20" t="s">
        <v>13</v>
      </c>
      <c r="B14" s="62">
        <v>0</v>
      </c>
      <c r="C14" s="7"/>
    </row>
    <row r="15" spans="1:11" ht="13" customHeight="1" thickBot="1" x14ac:dyDescent="0.3">
      <c r="A15" s="185" t="s">
        <v>121</v>
      </c>
      <c r="B15" s="62">
        <v>0.05</v>
      </c>
      <c r="C15" s="133" t="str">
        <f>IF(B15&gt;10.01%,"max. 10%"," ")</f>
        <v xml:space="preserve"> </v>
      </c>
    </row>
    <row r="16" spans="1:11" ht="13" customHeight="1" thickBot="1" x14ac:dyDescent="0.3">
      <c r="A16" s="207" t="s">
        <v>126</v>
      </c>
      <c r="B16" s="209"/>
      <c r="C16" s="7"/>
    </row>
    <row r="17" spans="1:7" ht="13" customHeight="1" thickBot="1" x14ac:dyDescent="0.3">
      <c r="A17" s="20" t="s">
        <v>83</v>
      </c>
      <c r="B17" s="62">
        <v>0</v>
      </c>
      <c r="C17" s="133" t="str">
        <f>IF(B17&gt;15.01%,"max. 15%"," ")</f>
        <v xml:space="preserve"> </v>
      </c>
      <c r="D17" s="202" t="s">
        <v>74</v>
      </c>
      <c r="E17" s="202"/>
      <c r="F17" s="202"/>
    </row>
    <row r="18" spans="1:7" ht="13" hidden="1" customHeight="1" thickBot="1" x14ac:dyDescent="0.3">
      <c r="A18" s="169" t="s">
        <v>123</v>
      </c>
      <c r="B18" s="170">
        <v>0</v>
      </c>
      <c r="C18" s="133"/>
      <c r="D18" s="202"/>
      <c r="E18" s="202"/>
      <c r="F18" s="202"/>
    </row>
    <row r="19" spans="1:7" ht="13" customHeight="1" thickBot="1" x14ac:dyDescent="0.3">
      <c r="A19" s="169" t="s">
        <v>104</v>
      </c>
      <c r="B19" s="8">
        <v>0.2</v>
      </c>
      <c r="C19" s="133" t="str">
        <f>IF(B19&gt;25.01%,"max. 25%"," ")</f>
        <v xml:space="preserve"> </v>
      </c>
      <c r="D19" s="202"/>
      <c r="E19" s="202"/>
      <c r="F19" s="202"/>
    </row>
    <row r="20" spans="1:7" ht="13" customHeight="1" thickBot="1" x14ac:dyDescent="0.3">
      <c r="A20" s="135" t="s">
        <v>67</v>
      </c>
      <c r="B20" s="136">
        <f>SUM(B9:B19)</f>
        <v>1</v>
      </c>
      <c r="D20" s="202"/>
      <c r="E20" s="202"/>
      <c r="F20" s="202"/>
    </row>
    <row r="21" spans="1:7" s="9" customFormat="1" ht="13" customHeight="1" x14ac:dyDescent="0.25">
      <c r="A21" s="150" t="str">
        <f>IF($B$20=100%," ","Eingabe prüfen. Summe muss 100% sein.")</f>
        <v xml:space="preserve"> </v>
      </c>
      <c r="C21" s="151"/>
      <c r="F21" s="134"/>
    </row>
    <row r="22" spans="1:7" s="9" customFormat="1" ht="50" customHeight="1" x14ac:dyDescent="0.25">
      <c r="A22" s="152" t="s">
        <v>79</v>
      </c>
      <c r="B22" s="152"/>
      <c r="C22" s="152"/>
      <c r="F22" s="134"/>
    </row>
    <row r="23" spans="1:7" s="9" customFormat="1" ht="13" customHeight="1" x14ac:dyDescent="0.25">
      <c r="A23" s="10" t="s">
        <v>85</v>
      </c>
      <c r="B23" s="129" t="s">
        <v>75</v>
      </c>
      <c r="D23" s="130"/>
      <c r="E23" s="122"/>
      <c r="F23" s="123"/>
    </row>
    <row r="24" spans="1:7" s="12" customFormat="1" ht="13" customHeight="1" x14ac:dyDescent="0.25">
      <c r="A24" s="12" t="s">
        <v>97</v>
      </c>
      <c r="B24" s="167" t="s">
        <v>128</v>
      </c>
      <c r="D24" s="168"/>
      <c r="E24" s="122"/>
      <c r="F24" s="123"/>
    </row>
    <row r="25" spans="1:7" s="9" customFormat="1" ht="13" customHeight="1" x14ac:dyDescent="0.25">
      <c r="A25" s="9" t="s">
        <v>14</v>
      </c>
      <c r="B25" s="124">
        <f>F6</f>
        <v>500</v>
      </c>
      <c r="C25" s="127" t="s">
        <v>15</v>
      </c>
      <c r="D25" s="130">
        <v>1</v>
      </c>
      <c r="E25" s="122"/>
      <c r="F25" s="123"/>
    </row>
    <row r="26" spans="1:7" s="9" customFormat="1" ht="13" customHeight="1" x14ac:dyDescent="0.25">
      <c r="A26" s="9" t="s">
        <v>72</v>
      </c>
      <c r="B26" s="124">
        <f>B42+B44/2+B49+B56+B64+B71+B78+B85+B92*0.5+B103</f>
        <v>300</v>
      </c>
      <c r="C26" s="127" t="s">
        <v>15</v>
      </c>
      <c r="D26" s="130">
        <f>D42+D44/2+D49+D56+D64+D71+D78+D85+D92*0.5+D103+D104/2</f>
        <v>0.65250000000000008</v>
      </c>
      <c r="E26" s="124"/>
      <c r="F26" s="12"/>
      <c r="G26" s="38"/>
    </row>
    <row r="27" spans="1:7" s="9" customFormat="1" ht="25" customHeight="1" x14ac:dyDescent="0.3">
      <c r="A27" s="152" t="s">
        <v>78</v>
      </c>
      <c r="B27" s="3"/>
      <c r="C27" s="153"/>
      <c r="D27" s="153"/>
      <c r="E27" s="153"/>
      <c r="F27" s="153"/>
      <c r="G27" s="38"/>
    </row>
    <row r="28" spans="1:7" s="9" customFormat="1" ht="13" customHeight="1" x14ac:dyDescent="0.3">
      <c r="A28" s="2" t="s">
        <v>38</v>
      </c>
      <c r="B28" s="131">
        <f>C184/$B$186*100-C184/$B$186*100*3%</f>
        <v>237.34807713427691</v>
      </c>
      <c r="C28" s="153"/>
      <c r="G28" s="38"/>
    </row>
    <row r="29" spans="1:7" s="9" customFormat="1" ht="13" customHeight="1" x14ac:dyDescent="0.3">
      <c r="A29" s="2" t="s">
        <v>39</v>
      </c>
      <c r="B29" s="132">
        <f>D$184/$B$186*100-D$184/$B$186*100*B$187</f>
        <v>49.085965791942527</v>
      </c>
      <c r="C29" s="153"/>
      <c r="G29" s="38"/>
    </row>
    <row r="30" spans="1:7" s="9" customFormat="1" ht="13" customHeight="1" x14ac:dyDescent="0.3">
      <c r="A30" s="2" t="s">
        <v>40</v>
      </c>
      <c r="B30" s="132">
        <f>E$184/$B$186*100-E$184/$B$186*100*B$187</f>
        <v>7.2330859329012078</v>
      </c>
      <c r="C30" s="153"/>
      <c r="G30" s="38"/>
    </row>
    <row r="31" spans="1:7" s="9" customFormat="1" ht="13" customHeight="1" x14ac:dyDescent="0.3">
      <c r="A31" s="2" t="s">
        <v>41</v>
      </c>
      <c r="B31" s="132">
        <f>F$184/$B$186*100-F$184/$B$186*100*B$187</f>
        <v>2.6693963717426525</v>
      </c>
      <c r="C31" s="153"/>
      <c r="D31" s="154"/>
      <c r="E31" s="154"/>
      <c r="F31" s="154"/>
      <c r="G31" s="38"/>
    </row>
    <row r="32" spans="1:7" s="9" customFormat="1" ht="13" customHeight="1" x14ac:dyDescent="0.3">
      <c r="A32" s="2" t="s">
        <v>42</v>
      </c>
      <c r="B32" s="132">
        <f>G$184/$B$186*100-G$184/$B$186*100*B$187</f>
        <v>0.76082853312125176</v>
      </c>
      <c r="C32" s="153"/>
      <c r="D32" s="154"/>
      <c r="E32" s="154"/>
      <c r="F32" s="154"/>
      <c r="G32" s="38"/>
    </row>
    <row r="33" spans="1:7" s="9" customFormat="1" ht="13" customHeight="1" x14ac:dyDescent="0.3">
      <c r="A33" s="2" t="s">
        <v>27</v>
      </c>
      <c r="B33" s="132">
        <f>B121/B186*100-B121/B186*100*3%</f>
        <v>1.5061979977024484</v>
      </c>
      <c r="C33" s="155"/>
      <c r="D33" s="154"/>
      <c r="E33" s="154"/>
      <c r="F33" s="154"/>
      <c r="G33" s="38"/>
    </row>
    <row r="34" spans="1:7" s="9" customFormat="1" ht="25" customHeight="1" x14ac:dyDescent="0.3">
      <c r="A34" s="152" t="s">
        <v>81</v>
      </c>
      <c r="B34" s="83"/>
      <c r="C34" s="155"/>
      <c r="G34" s="38"/>
    </row>
    <row r="35" spans="1:7" s="9" customFormat="1" ht="13" customHeight="1" x14ac:dyDescent="0.3">
      <c r="A35" s="2" t="s">
        <v>80</v>
      </c>
      <c r="B35" s="83"/>
      <c r="C35" s="155"/>
      <c r="G35" s="38"/>
    </row>
    <row r="36" spans="1:7" s="9" customFormat="1" ht="13" customHeight="1" x14ac:dyDescent="0.3">
      <c r="A36" s="2" t="s">
        <v>90</v>
      </c>
      <c r="B36" s="83"/>
      <c r="C36" s="155"/>
      <c r="G36" s="38"/>
    </row>
    <row r="37" spans="1:7" s="9" customFormat="1" ht="50" customHeight="1" x14ac:dyDescent="0.25">
      <c r="A37" s="124"/>
      <c r="B37" s="124"/>
      <c r="C37" s="124"/>
      <c r="D37" s="124"/>
      <c r="E37" s="124"/>
      <c r="F37" s="124"/>
    </row>
    <row r="38" spans="1:7" s="15" customFormat="1" ht="12" customHeight="1" x14ac:dyDescent="0.35">
      <c r="A38" s="198" t="s">
        <v>130</v>
      </c>
      <c r="B38" s="16" t="s">
        <v>16</v>
      </c>
      <c r="C38" s="17" t="s">
        <v>17</v>
      </c>
      <c r="D38" s="18" t="s">
        <v>18</v>
      </c>
      <c r="E38" s="19" t="s">
        <v>19</v>
      </c>
      <c r="F38" s="19" t="s">
        <v>20</v>
      </c>
    </row>
    <row r="39" spans="1:7" s="26" customFormat="1" ht="12" customHeight="1" x14ac:dyDescent="0.25">
      <c r="A39" s="147" t="s">
        <v>70</v>
      </c>
      <c r="B39" s="21"/>
      <c r="C39" s="22"/>
      <c r="D39" s="23"/>
      <c r="E39" s="24"/>
      <c r="F39" s="25"/>
    </row>
    <row r="40" spans="1:7" s="26" customFormat="1" ht="12" customHeight="1" x14ac:dyDescent="0.25">
      <c r="A40" s="20" t="str">
        <f>IF(B18=0,"1.a entfällt","1.a Sauerteig Stufe I")</f>
        <v>1.a entfällt</v>
      </c>
      <c r="B40" s="102">
        <f>SUM(B41:B44)</f>
        <v>0</v>
      </c>
      <c r="C40" s="22"/>
      <c r="D40" s="103">
        <f>SUM(D42:D44)</f>
        <v>0</v>
      </c>
      <c r="E40" s="24"/>
      <c r="F40" s="25"/>
    </row>
    <row r="41" spans="1:7" s="26" customFormat="1" ht="12" customHeight="1" x14ac:dyDescent="0.25">
      <c r="A41" s="100" t="s">
        <v>98</v>
      </c>
      <c r="B41" s="95"/>
      <c r="C41" s="96"/>
      <c r="D41" s="97"/>
      <c r="E41" s="98">
        <v>3.472222222222222E-3</v>
      </c>
      <c r="F41" s="99">
        <f>F45-E41</f>
        <v>46024.8125</v>
      </c>
    </row>
    <row r="42" spans="1:7" s="26" customFormat="1" ht="12" customHeight="1" x14ac:dyDescent="0.25">
      <c r="A42" s="94" t="s">
        <v>21</v>
      </c>
      <c r="B42" s="145">
        <f>D42*$F$6</f>
        <v>0</v>
      </c>
      <c r="C42" s="126">
        <v>35</v>
      </c>
      <c r="D42" s="97">
        <f>D44*10</f>
        <v>0</v>
      </c>
      <c r="E42" s="137"/>
      <c r="F42" s="104"/>
    </row>
    <row r="43" spans="1:7" s="26" customFormat="1" ht="12" customHeight="1" x14ac:dyDescent="0.25">
      <c r="A43" s="94" t="s">
        <v>124</v>
      </c>
      <c r="B43" s="145">
        <f>D43*$F$6</f>
        <v>0</v>
      </c>
      <c r="C43" s="96"/>
      <c r="D43" s="97">
        <f>D44*10</f>
        <v>0</v>
      </c>
      <c r="E43" s="137"/>
      <c r="F43" s="104"/>
    </row>
    <row r="44" spans="1:7" s="26" customFormat="1" ht="12" customHeight="1" x14ac:dyDescent="0.25">
      <c r="A44" s="94" t="s">
        <v>120</v>
      </c>
      <c r="B44" s="146">
        <f>D44*$F$6</f>
        <v>0</v>
      </c>
      <c r="C44" s="138">
        <v>5</v>
      </c>
      <c r="D44" s="195">
        <f>B18/52</f>
        <v>0</v>
      </c>
      <c r="E44" s="137"/>
      <c r="F44" s="104"/>
    </row>
    <row r="45" spans="1:7" s="26" customFormat="1" ht="12" customHeight="1" x14ac:dyDescent="0.25">
      <c r="A45" s="139" t="s">
        <v>86</v>
      </c>
      <c r="B45" s="140"/>
      <c r="C45" s="138">
        <v>21</v>
      </c>
      <c r="D45" s="141"/>
      <c r="E45" s="142">
        <v>0.5</v>
      </c>
      <c r="F45" s="143">
        <f>$F$48-E45</f>
        <v>46024.815972222219</v>
      </c>
    </row>
    <row r="46" spans="1:7" s="193" customFormat="1" ht="12" customHeight="1" x14ac:dyDescent="0.25">
      <c r="A46" s="184" t="s">
        <v>122</v>
      </c>
      <c r="B46" s="190"/>
      <c r="C46" s="196">
        <v>28</v>
      </c>
      <c r="D46" s="191"/>
      <c r="E46" s="192">
        <v>0.25</v>
      </c>
      <c r="F46" s="194">
        <f>$F$48-E46</f>
        <v>46025.065972222219</v>
      </c>
    </row>
    <row r="47" spans="1:7" s="26" customFormat="1" ht="12" customHeight="1" x14ac:dyDescent="0.25">
      <c r="A47" s="20" t="str">
        <f>IF(B18=0,"1.b entfällt","1.b Sauerteig Stufe II")</f>
        <v>1.b entfällt</v>
      </c>
      <c r="B47" s="102">
        <f>SUM(B49:B52)</f>
        <v>0</v>
      </c>
      <c r="C47" s="22"/>
      <c r="D47" s="103">
        <f>SUM(D49:D51)</f>
        <v>0</v>
      </c>
      <c r="E47" s="24"/>
      <c r="F47" s="25"/>
    </row>
    <row r="48" spans="1:7" s="26" customFormat="1" ht="12" customHeight="1" x14ac:dyDescent="0.25">
      <c r="A48" s="100" t="s">
        <v>98</v>
      </c>
      <c r="B48" s="95"/>
      <c r="C48" s="96"/>
      <c r="D48" s="97"/>
      <c r="E48" s="98">
        <v>3.472222222222222E-3</v>
      </c>
      <c r="F48" s="99">
        <f>F52-E48</f>
        <v>46025.315972222219</v>
      </c>
    </row>
    <row r="49" spans="1:6" s="26" customFormat="1" ht="12" customHeight="1" x14ac:dyDescent="0.25">
      <c r="A49" s="94" t="s">
        <v>21</v>
      </c>
      <c r="B49" s="145">
        <f>D49*$F$6</f>
        <v>0</v>
      </c>
      <c r="C49" s="126">
        <v>45</v>
      </c>
      <c r="D49" s="97">
        <f>D50+D50*25%</f>
        <v>0</v>
      </c>
      <c r="E49" s="137"/>
      <c r="F49" s="104"/>
    </row>
    <row r="50" spans="1:6" s="26" customFormat="1" ht="12" customHeight="1" x14ac:dyDescent="0.25">
      <c r="A50" s="94" t="s">
        <v>124</v>
      </c>
      <c r="B50" s="145">
        <f>D50*$F$6</f>
        <v>0</v>
      </c>
      <c r="C50" s="96"/>
      <c r="D50" s="97">
        <f>D51*2</f>
        <v>0</v>
      </c>
      <c r="E50" s="137"/>
      <c r="F50" s="104"/>
    </row>
    <row r="51" spans="1:6" s="26" customFormat="1" ht="12" customHeight="1" x14ac:dyDescent="0.25">
      <c r="A51" s="94" t="str">
        <f>A40</f>
        <v>1.a entfällt</v>
      </c>
      <c r="B51" s="146">
        <f>B40</f>
        <v>0</v>
      </c>
      <c r="C51" s="138"/>
      <c r="D51" s="195">
        <f>D40</f>
        <v>0</v>
      </c>
      <c r="E51" s="137"/>
      <c r="F51" s="104"/>
    </row>
    <row r="52" spans="1:6" s="26" customFormat="1" ht="12" customHeight="1" x14ac:dyDescent="0.25">
      <c r="A52" s="139" t="s">
        <v>86</v>
      </c>
      <c r="B52" s="140"/>
      <c r="C52" s="138">
        <v>28</v>
      </c>
      <c r="D52" s="141"/>
      <c r="E52" s="142">
        <v>8.3333333333333329E-2</v>
      </c>
      <c r="F52" s="143">
        <f>F102-E52</f>
        <v>46025.319444444438</v>
      </c>
    </row>
    <row r="53" spans="1:6" s="193" customFormat="1" ht="12" customHeight="1" x14ac:dyDescent="0.25">
      <c r="A53" s="184"/>
      <c r="B53" s="190"/>
      <c r="C53" s="196"/>
      <c r="D53" s="191"/>
      <c r="E53" s="192"/>
      <c r="F53" s="194"/>
    </row>
    <row r="54" spans="1:6" s="26" customFormat="1" ht="12" customHeight="1" x14ac:dyDescent="0.25">
      <c r="A54" s="20" t="str">
        <f>IF($B$19=0,"1.c entfällt","1.c Poolish")</f>
        <v>1.c Poolish</v>
      </c>
      <c r="B54" s="102">
        <f>SUM(B56:B58)</f>
        <v>210.12</v>
      </c>
      <c r="C54" s="22"/>
      <c r="D54" s="103">
        <f>SUM(D55:D59)</f>
        <v>0.42024000000000006</v>
      </c>
      <c r="E54" s="24"/>
      <c r="F54" s="25"/>
    </row>
    <row r="55" spans="1:6" s="26" customFormat="1" ht="12" customHeight="1" x14ac:dyDescent="0.25">
      <c r="A55" s="100" t="s">
        <v>105</v>
      </c>
      <c r="B55" s="95"/>
      <c r="C55" s="96"/>
      <c r="D55" s="97"/>
      <c r="E55" s="98">
        <v>3.472222222222222E-3</v>
      </c>
      <c r="F55" s="99">
        <f>F60-E55</f>
        <v>46024.732638888891</v>
      </c>
    </row>
    <row r="56" spans="1:6" s="26" customFormat="1" ht="12" customHeight="1" x14ac:dyDescent="0.25">
      <c r="A56" s="94" t="s">
        <v>21</v>
      </c>
      <c r="B56" s="145">
        <f>D56*$F$6</f>
        <v>110.00000000000001</v>
      </c>
      <c r="C56" s="126">
        <v>16</v>
      </c>
      <c r="D56" s="97">
        <f>D57*1.1</f>
        <v>0.22000000000000003</v>
      </c>
      <c r="E56" s="137"/>
      <c r="F56" s="104"/>
    </row>
    <row r="57" spans="1:6" s="26" customFormat="1" ht="12" customHeight="1" x14ac:dyDescent="0.25">
      <c r="A57" s="94" t="s">
        <v>9</v>
      </c>
      <c r="B57" s="145">
        <f>D57*$F$6</f>
        <v>100</v>
      </c>
      <c r="C57" s="96"/>
      <c r="D57" s="97">
        <f>B19</f>
        <v>0.2</v>
      </c>
      <c r="E57" s="137"/>
      <c r="F57" s="104"/>
    </row>
    <row r="58" spans="1:6" s="26" customFormat="1" ht="12" customHeight="1" x14ac:dyDescent="0.25">
      <c r="A58" s="183" t="s">
        <v>102</v>
      </c>
      <c r="B58" s="146">
        <f>D58*$F$6</f>
        <v>0.12</v>
      </c>
      <c r="C58" s="96"/>
      <c r="D58" s="200">
        <f>D57*0.12%</f>
        <v>2.3999999999999998E-4</v>
      </c>
      <c r="E58" s="137"/>
      <c r="F58" s="104"/>
    </row>
    <row r="59" spans="1:6" s="26" customFormat="1" ht="12" customHeight="1" thickBot="1" x14ac:dyDescent="0.3">
      <c r="A59" s="174" t="s">
        <v>115</v>
      </c>
      <c r="B59" s="175"/>
      <c r="C59" s="176"/>
      <c r="D59" s="177"/>
      <c r="E59" s="178"/>
      <c r="F59" s="99"/>
    </row>
    <row r="60" spans="1:6" s="26" customFormat="1" ht="12" customHeight="1" thickBot="1" x14ac:dyDescent="0.3">
      <c r="A60" s="61" t="s">
        <v>103</v>
      </c>
      <c r="B60" s="179"/>
      <c r="C60" s="180">
        <v>21</v>
      </c>
      <c r="D60" s="181" t="s">
        <v>32</v>
      </c>
      <c r="E60" s="182">
        <v>0.66666666666666663</v>
      </c>
      <c r="F60" s="104">
        <f>F102-E60</f>
        <v>46024.736111111109</v>
      </c>
    </row>
    <row r="62" spans="1:6" s="9" customFormat="1" ht="12" customHeight="1" x14ac:dyDescent="0.25">
      <c r="A62" s="20" t="str">
        <f>IF($B$17=0,"1.d entfällt","1.d Brühstück: Dinkelvollkornmehl")</f>
        <v>1.d entfällt</v>
      </c>
      <c r="B62" s="27">
        <f>SUM(B64:B65)</f>
        <v>0</v>
      </c>
      <c r="C62" s="28"/>
      <c r="D62" s="29">
        <f>SUM(D64:D67)</f>
        <v>0</v>
      </c>
      <c r="E62" s="30"/>
      <c r="F62" s="213" t="s">
        <v>109</v>
      </c>
    </row>
    <row r="63" spans="1:6" s="10" customFormat="1" ht="12" customHeight="1" x14ac:dyDescent="0.25">
      <c r="A63" s="66" t="s">
        <v>64</v>
      </c>
      <c r="B63" s="67"/>
      <c r="C63" s="68"/>
      <c r="D63" s="69"/>
      <c r="F63" s="214"/>
    </row>
    <row r="64" spans="1:6" s="9" customFormat="1" ht="12" customHeight="1" x14ac:dyDescent="0.25">
      <c r="A64" s="32" t="s">
        <v>21</v>
      </c>
      <c r="B64" s="33">
        <f>D64*F$6</f>
        <v>0</v>
      </c>
      <c r="C64" s="34">
        <v>100</v>
      </c>
      <c r="D64" s="35">
        <f>D65*2.4</f>
        <v>0</v>
      </c>
      <c r="E64" s="36"/>
      <c r="F64" s="214"/>
    </row>
    <row r="65" spans="1:6" s="9" customFormat="1" ht="12" customHeight="1" x14ac:dyDescent="0.25">
      <c r="A65" s="81" t="s">
        <v>11</v>
      </c>
      <c r="B65" s="13">
        <f>D65*F$6</f>
        <v>0</v>
      </c>
      <c r="C65" s="80"/>
      <c r="D65" s="14">
        <f>B17</f>
        <v>0</v>
      </c>
      <c r="E65" s="39"/>
      <c r="F65" s="214"/>
    </row>
    <row r="66" spans="1:6" s="9" customFormat="1" ht="12" customHeight="1" x14ac:dyDescent="0.25">
      <c r="A66" s="82" t="s">
        <v>65</v>
      </c>
      <c r="B66" s="13"/>
      <c r="C66" s="80"/>
      <c r="D66" s="14"/>
      <c r="E66" s="46"/>
      <c r="F66" s="214"/>
    </row>
    <row r="67" spans="1:6" s="9" customFormat="1" ht="12" customHeight="1" x14ac:dyDescent="0.25">
      <c r="A67" s="32" t="s">
        <v>95</v>
      </c>
      <c r="B67" s="33"/>
      <c r="C67" s="34">
        <v>21</v>
      </c>
      <c r="D67" s="35"/>
      <c r="E67" s="36">
        <v>0.16666666666666666</v>
      </c>
      <c r="F67" s="214"/>
    </row>
    <row r="68" spans="1:6" s="9" customFormat="1" ht="12" customHeight="1" x14ac:dyDescent="0.25">
      <c r="A68" s="77"/>
      <c r="B68" s="114"/>
      <c r="C68" s="115"/>
      <c r="D68" s="116"/>
      <c r="E68" s="117"/>
      <c r="F68" s="214"/>
    </row>
    <row r="69" spans="1:6" s="9" customFormat="1" ht="12" customHeight="1" x14ac:dyDescent="0.25">
      <c r="A69" s="20" t="str">
        <f>IF($F$9=0,"1.e entfällt","1.e Brühstück: Röstbrot")</f>
        <v>1.e entfällt</v>
      </c>
      <c r="B69" s="27">
        <f>SUM(B71:B74)</f>
        <v>0</v>
      </c>
      <c r="C69" s="28"/>
      <c r="D69" s="29">
        <f>SUM(D71:D74)</f>
        <v>0</v>
      </c>
      <c r="E69" s="75"/>
      <c r="F69" s="214"/>
    </row>
    <row r="70" spans="1:6" s="9" customFormat="1" ht="12" customHeight="1" x14ac:dyDescent="0.25">
      <c r="A70" s="66" t="s">
        <v>64</v>
      </c>
      <c r="B70" s="67"/>
      <c r="C70" s="68"/>
      <c r="D70" s="69"/>
      <c r="E70" s="46"/>
      <c r="F70" s="214"/>
    </row>
    <row r="71" spans="1:6" s="9" customFormat="1" ht="12" customHeight="1" x14ac:dyDescent="0.25">
      <c r="A71" s="32" t="s">
        <v>21</v>
      </c>
      <c r="B71" s="33">
        <f>D71*F$6</f>
        <v>0</v>
      </c>
      <c r="C71" s="34">
        <v>100</v>
      </c>
      <c r="D71" s="35">
        <f>D72*3.3</f>
        <v>0</v>
      </c>
      <c r="E71" s="36"/>
      <c r="F71" s="214"/>
    </row>
    <row r="72" spans="1:6" s="9" customFormat="1" ht="12" customHeight="1" x14ac:dyDescent="0.25">
      <c r="A72" s="32" t="s">
        <v>77</v>
      </c>
      <c r="B72" s="33">
        <f>D72*F$6</f>
        <v>0</v>
      </c>
      <c r="C72" s="34"/>
      <c r="D72" s="35">
        <f>F9</f>
        <v>0</v>
      </c>
      <c r="E72" s="36"/>
      <c r="F72" s="214"/>
    </row>
    <row r="73" spans="1:6" s="9" customFormat="1" ht="12" customHeight="1" x14ac:dyDescent="0.25">
      <c r="A73" s="66" t="s">
        <v>116</v>
      </c>
      <c r="B73" s="67"/>
      <c r="C73" s="68"/>
      <c r="D73" s="69"/>
      <c r="E73" s="36">
        <v>4.1666666666666664E-2</v>
      </c>
      <c r="F73" s="214"/>
    </row>
    <row r="74" spans="1:6" s="9" customFormat="1" ht="12" customHeight="1" x14ac:dyDescent="0.25">
      <c r="A74" s="32" t="s">
        <v>95</v>
      </c>
      <c r="B74" s="33"/>
      <c r="C74" s="34">
        <v>21</v>
      </c>
      <c r="D74" s="35"/>
      <c r="E74" s="36">
        <v>0.16666666666666666</v>
      </c>
      <c r="F74" s="214"/>
    </row>
    <row r="75" spans="1:6" s="9" customFormat="1" ht="12" customHeight="1" x14ac:dyDescent="0.25">
      <c r="A75" s="77"/>
      <c r="B75" s="114"/>
      <c r="C75" s="115"/>
      <c r="D75" s="116"/>
      <c r="E75" s="117"/>
      <c r="F75" s="214"/>
    </row>
    <row r="76" spans="1:6" s="9" customFormat="1" ht="12" customHeight="1" x14ac:dyDescent="0.25">
      <c r="A76" s="20" t="str">
        <f>IF($F$10=0,"1.f entfällt","1.f Brühstück: Haferflocken")</f>
        <v>1.f entfällt</v>
      </c>
      <c r="B76" s="27">
        <f>SUM(B78:B79)</f>
        <v>0</v>
      </c>
      <c r="C76" s="28">
        <v>21</v>
      </c>
      <c r="D76" s="29">
        <f>SUM(D78:D79)</f>
        <v>0</v>
      </c>
      <c r="E76" s="30"/>
      <c r="F76" s="214"/>
    </row>
    <row r="77" spans="1:6" s="10" customFormat="1" ht="12" customHeight="1" x14ac:dyDescent="0.25">
      <c r="A77" s="66" t="s">
        <v>64</v>
      </c>
      <c r="B77" s="67"/>
      <c r="C77" s="68"/>
      <c r="D77" s="69"/>
      <c r="F77" s="214"/>
    </row>
    <row r="78" spans="1:6" s="9" customFormat="1" ht="12" customHeight="1" x14ac:dyDescent="0.25">
      <c r="A78" s="32" t="s">
        <v>21</v>
      </c>
      <c r="B78" s="33">
        <f>D78*F$6</f>
        <v>0</v>
      </c>
      <c r="C78" s="34">
        <v>100</v>
      </c>
      <c r="D78" s="35">
        <f>D79*2</f>
        <v>0</v>
      </c>
      <c r="E78" s="36"/>
      <c r="F78" s="214"/>
    </row>
    <row r="79" spans="1:6" s="9" customFormat="1" ht="12" customHeight="1" x14ac:dyDescent="0.25">
      <c r="A79" s="32" t="s">
        <v>94</v>
      </c>
      <c r="B79" s="33">
        <f>D79*F$6</f>
        <v>0</v>
      </c>
      <c r="C79" s="34"/>
      <c r="D79" s="35">
        <f>F10</f>
        <v>0</v>
      </c>
      <c r="E79" s="39"/>
      <c r="F79" s="214"/>
    </row>
    <row r="80" spans="1:6" s="9" customFormat="1" ht="12" customHeight="1" x14ac:dyDescent="0.25">
      <c r="A80" s="66" t="s">
        <v>99</v>
      </c>
      <c r="B80" s="33"/>
      <c r="C80" s="34"/>
      <c r="D80" s="35"/>
      <c r="E80" s="46"/>
      <c r="F80" s="214"/>
    </row>
    <row r="81" spans="1:6" s="9" customFormat="1" ht="12" customHeight="1" x14ac:dyDescent="0.25">
      <c r="A81" s="32" t="s">
        <v>95</v>
      </c>
      <c r="B81" s="33"/>
      <c r="C81" s="34">
        <v>21</v>
      </c>
      <c r="D81" s="35"/>
      <c r="E81" s="36">
        <v>0.16666666666666666</v>
      </c>
      <c r="F81" s="214"/>
    </row>
    <row r="82" spans="1:6" ht="12" customHeight="1" x14ac:dyDescent="0.25">
      <c r="F82" s="214"/>
    </row>
    <row r="83" spans="1:6" s="9" customFormat="1" ht="12" customHeight="1" x14ac:dyDescent="0.25">
      <c r="A83" s="88" t="str">
        <f>IF(F11=0,"1.g entfällt","1.g Kochstück: Getreidekörner")</f>
        <v>1.g entfällt</v>
      </c>
      <c r="B83" s="27">
        <f>B86+B85*0.5</f>
        <v>0</v>
      </c>
      <c r="C83" s="105"/>
      <c r="D83" s="27">
        <f>D86+D85</f>
        <v>0</v>
      </c>
      <c r="E83" s="106"/>
      <c r="F83" s="214"/>
    </row>
    <row r="84" spans="1:6" s="10" customFormat="1" ht="12" customHeight="1" x14ac:dyDescent="0.25">
      <c r="A84" s="70" t="s">
        <v>64</v>
      </c>
      <c r="B84" s="33"/>
      <c r="C84" s="41"/>
      <c r="D84" s="35"/>
      <c r="E84" s="46"/>
      <c r="F84" s="214"/>
    </row>
    <row r="85" spans="1:6" s="9" customFormat="1" ht="12" customHeight="1" x14ac:dyDescent="0.25">
      <c r="A85" s="11" t="s">
        <v>21</v>
      </c>
      <c r="B85" s="33">
        <f>$F$6*D85</f>
        <v>0</v>
      </c>
      <c r="C85" s="41">
        <v>100</v>
      </c>
      <c r="D85" s="35">
        <f>D86*3</f>
        <v>0</v>
      </c>
      <c r="E85" s="36"/>
      <c r="F85" s="214"/>
    </row>
    <row r="86" spans="1:6" s="9" customFormat="1" ht="12" customHeight="1" x14ac:dyDescent="0.25">
      <c r="A86" s="11" t="s">
        <v>107</v>
      </c>
      <c r="B86" s="33">
        <f>$F$6*D86</f>
        <v>0</v>
      </c>
      <c r="C86" s="41"/>
      <c r="D86" s="35">
        <f>F11</f>
        <v>0</v>
      </c>
      <c r="E86" s="36"/>
      <c r="F86" s="214"/>
    </row>
    <row r="87" spans="1:6" s="9" customFormat="1" ht="12" customHeight="1" x14ac:dyDescent="0.25">
      <c r="A87" s="70" t="s">
        <v>100</v>
      </c>
      <c r="B87" s="33"/>
      <c r="C87" s="41"/>
      <c r="D87" s="35"/>
      <c r="E87" s="36">
        <v>4.1666666666666664E-2</v>
      </c>
      <c r="F87" s="214"/>
    </row>
    <row r="88" spans="1:6" s="9" customFormat="1" ht="12" customHeight="1" x14ac:dyDescent="0.25">
      <c r="A88" s="32" t="s">
        <v>95</v>
      </c>
      <c r="B88" s="33"/>
      <c r="C88" s="41">
        <v>21</v>
      </c>
      <c r="D88" s="35"/>
      <c r="E88" s="36">
        <v>0.16666666666666666</v>
      </c>
      <c r="F88" s="214"/>
    </row>
    <row r="89" spans="1:6" s="9" customFormat="1" ht="12" customHeight="1" x14ac:dyDescent="0.25">
      <c r="A89" s="93"/>
      <c r="B89" s="89"/>
      <c r="C89" s="110"/>
      <c r="D89" s="91"/>
      <c r="E89" s="92"/>
      <c r="F89" s="214"/>
    </row>
    <row r="90" spans="1:6" s="10" customFormat="1" ht="12" customHeight="1" x14ac:dyDescent="0.25">
      <c r="A90" s="88" t="str">
        <f>IF($F$12=0,"1.h entfällt","1.h Quellstück: Saaten/Nüsse")</f>
        <v>1.h entfällt</v>
      </c>
      <c r="B90" s="27"/>
      <c r="C90" s="105">
        <v>21</v>
      </c>
      <c r="D90" s="29">
        <f>SUM(D93:D93)</f>
        <v>0</v>
      </c>
      <c r="E90" s="106"/>
      <c r="F90" s="214"/>
    </row>
    <row r="91" spans="1:6" s="12" customFormat="1" ht="12" customHeight="1" x14ac:dyDescent="0.25">
      <c r="A91" s="66" t="s">
        <v>22</v>
      </c>
      <c r="C91" s="125">
        <f>SUM(B93:B93)</f>
        <v>0</v>
      </c>
      <c r="D91" s="69"/>
      <c r="E91" s="46"/>
      <c r="F91" s="214"/>
    </row>
    <row r="92" spans="1:6" s="10" customFormat="1" ht="12" customHeight="1" x14ac:dyDescent="0.25">
      <c r="A92" s="32" t="s">
        <v>110</v>
      </c>
      <c r="B92" s="33">
        <f>D92*F$6</f>
        <v>0</v>
      </c>
      <c r="C92" s="34"/>
      <c r="D92" s="35">
        <f>$F$12</f>
        <v>0</v>
      </c>
      <c r="E92" s="39"/>
      <c r="F92" s="214"/>
    </row>
    <row r="93" spans="1:6" s="9" customFormat="1" ht="12" customHeight="1" x14ac:dyDescent="0.25">
      <c r="A93" s="53" t="s">
        <v>117</v>
      </c>
      <c r="B93" s="33"/>
      <c r="C93" s="34"/>
      <c r="D93" s="35"/>
      <c r="E93" s="36"/>
      <c r="F93" s="214"/>
    </row>
    <row r="94" spans="1:6" s="10" customFormat="1" ht="12" customHeight="1" x14ac:dyDescent="0.25">
      <c r="A94" s="32" t="s">
        <v>112</v>
      </c>
      <c r="B94" s="33"/>
      <c r="C94" s="34"/>
      <c r="D94" s="35"/>
      <c r="E94" s="39"/>
      <c r="F94" s="214"/>
    </row>
    <row r="95" spans="1:6" s="10" customFormat="1" ht="12" customHeight="1" x14ac:dyDescent="0.25">
      <c r="A95" s="32" t="s">
        <v>111</v>
      </c>
      <c r="B95" s="33"/>
      <c r="C95" s="34"/>
      <c r="D95" s="35"/>
      <c r="E95" s="39"/>
      <c r="F95" s="214"/>
    </row>
    <row r="96" spans="1:6" s="10" customFormat="1" ht="12" customHeight="1" x14ac:dyDescent="0.25">
      <c r="A96" s="32" t="s">
        <v>113</v>
      </c>
      <c r="B96" s="33"/>
      <c r="C96" s="34"/>
      <c r="D96" s="35"/>
      <c r="E96" s="39"/>
      <c r="F96" s="214"/>
    </row>
    <row r="97" spans="1:8" s="10" customFormat="1" ht="12" customHeight="1" x14ac:dyDescent="0.25">
      <c r="A97" s="173" t="s">
        <v>114</v>
      </c>
      <c r="B97" s="33"/>
      <c r="C97" s="34"/>
      <c r="D97" s="35"/>
      <c r="E97" s="39"/>
      <c r="F97" s="214"/>
    </row>
    <row r="98" spans="1:8" s="10" customFormat="1" ht="12" customHeight="1" x14ac:dyDescent="0.25">
      <c r="A98" s="32" t="s">
        <v>95</v>
      </c>
      <c r="B98" s="33"/>
      <c r="C98" s="34">
        <v>21</v>
      </c>
      <c r="D98" s="35"/>
      <c r="E98" s="36">
        <v>0.33333333333333331</v>
      </c>
      <c r="F98" s="214"/>
    </row>
    <row r="99" spans="1:8" s="10" customFormat="1" ht="25" customHeight="1" x14ac:dyDescent="0.25">
      <c r="A99" s="77"/>
      <c r="B99" s="114"/>
      <c r="C99" s="115"/>
      <c r="D99" s="116"/>
      <c r="E99" s="117"/>
      <c r="F99" s="197"/>
    </row>
    <row r="100" spans="1:8" s="9" customFormat="1" ht="12.5" customHeight="1" x14ac:dyDescent="0.25">
      <c r="A100" s="199" t="s">
        <v>130</v>
      </c>
      <c r="B100" s="16" t="s">
        <v>16</v>
      </c>
      <c r="C100" s="17" t="s">
        <v>17</v>
      </c>
      <c r="D100" s="18" t="s">
        <v>18</v>
      </c>
      <c r="E100" s="19" t="s">
        <v>19</v>
      </c>
      <c r="F100" s="19" t="s">
        <v>20</v>
      </c>
    </row>
    <row r="101" spans="1:8" s="26" customFormat="1" ht="12.5" customHeight="1" x14ac:dyDescent="0.25">
      <c r="A101" s="147" t="s">
        <v>23</v>
      </c>
      <c r="B101" s="86">
        <f>SUM(B103:B127)</f>
        <v>841.63</v>
      </c>
      <c r="C101" s="87"/>
      <c r="D101" s="29">
        <f>SUM(D102:D128)</f>
        <v>1.7357600000000002</v>
      </c>
      <c r="E101" s="30"/>
      <c r="F101" s="31"/>
    </row>
    <row r="102" spans="1:8" s="10" customFormat="1" ht="12.5" customHeight="1" x14ac:dyDescent="0.25">
      <c r="A102" s="66" t="s">
        <v>64</v>
      </c>
      <c r="B102" s="67"/>
      <c r="C102" s="68"/>
      <c r="D102" s="69"/>
      <c r="E102" s="46">
        <v>6.9444444444444441E-3</v>
      </c>
      <c r="F102" s="47">
        <f>F120-E102</f>
        <v>46025.402777777774</v>
      </c>
    </row>
    <row r="103" spans="1:8" s="9" customFormat="1" ht="12.5" customHeight="1" x14ac:dyDescent="0.25">
      <c r="A103" s="40" t="s">
        <v>21</v>
      </c>
      <c r="B103" s="33">
        <f>ROUNDDOWN((D103*F$6),-1)</f>
        <v>190</v>
      </c>
      <c r="C103" s="34">
        <v>16</v>
      </c>
      <c r="D103" s="35">
        <f>B9*0.6+(B10+B18+B19)*0.65+(B11+B12+B15+B17)*0.7+B13*0.75+B14*0.8+F13*10-D42-D49-D56-(D64+D71+D78)*0.6-(D85+D92)*0.2-D104/2</f>
        <v>0.38249999999999995</v>
      </c>
      <c r="E103" s="36"/>
      <c r="F103" s="37"/>
    </row>
    <row r="104" spans="1:8" s="9" customFormat="1" ht="12.5" customHeight="1" x14ac:dyDescent="0.25">
      <c r="A104" s="40" t="s">
        <v>125</v>
      </c>
      <c r="B104" s="33">
        <f>D104*F$6</f>
        <v>50</v>
      </c>
      <c r="C104" s="90">
        <v>5</v>
      </c>
      <c r="D104" s="35">
        <f>B15*2</f>
        <v>0.1</v>
      </c>
      <c r="E104" s="36"/>
      <c r="F104" s="37"/>
    </row>
    <row r="105" spans="1:8" s="9" customFormat="1" ht="12.5" customHeight="1" x14ac:dyDescent="0.25">
      <c r="A105" s="32" t="str">
        <f>A47</f>
        <v>1.b entfällt</v>
      </c>
      <c r="B105" s="33">
        <f>B47</f>
        <v>0</v>
      </c>
      <c r="C105" s="90">
        <v>28</v>
      </c>
      <c r="D105" s="35">
        <f>D47</f>
        <v>0</v>
      </c>
      <c r="E105" s="36"/>
      <c r="F105" s="37"/>
    </row>
    <row r="106" spans="1:8" s="9" customFormat="1" ht="12.5" customHeight="1" x14ac:dyDescent="0.25">
      <c r="A106" s="40" t="str">
        <f>A54</f>
        <v>1.c Poolish</v>
      </c>
      <c r="B106" s="89">
        <f>B54</f>
        <v>210.12</v>
      </c>
      <c r="C106" s="90">
        <v>21</v>
      </c>
      <c r="D106" s="91">
        <f>D54</f>
        <v>0.42024000000000006</v>
      </c>
      <c r="E106" s="92"/>
      <c r="F106" s="101"/>
    </row>
    <row r="107" spans="1:8" s="9" customFormat="1" ht="12.5" customHeight="1" x14ac:dyDescent="0.25">
      <c r="A107" s="40" t="str">
        <f>A62</f>
        <v>1.d entfällt</v>
      </c>
      <c r="B107" s="89">
        <f>D107*F$6</f>
        <v>0</v>
      </c>
      <c r="C107" s="90">
        <v>21</v>
      </c>
      <c r="D107" s="91">
        <f>D62</f>
        <v>0</v>
      </c>
      <c r="E107" s="92"/>
      <c r="F107" s="101"/>
      <c r="H107" s="42"/>
    </row>
    <row r="108" spans="1:8" s="9" customFormat="1" ht="12.5" customHeight="1" x14ac:dyDescent="0.25">
      <c r="A108" s="40" t="str">
        <f>A69</f>
        <v>1.e entfällt</v>
      </c>
      <c r="B108" s="33">
        <f>D108*F$6</f>
        <v>0</v>
      </c>
      <c r="C108" s="34">
        <v>21</v>
      </c>
      <c r="D108" s="35">
        <f>D69</f>
        <v>0</v>
      </c>
      <c r="E108" s="36"/>
      <c r="F108" s="37"/>
    </row>
    <row r="109" spans="1:8" s="9" customFormat="1" ht="12.5" customHeight="1" x14ac:dyDescent="0.25">
      <c r="A109" s="32" t="str">
        <f>A76</f>
        <v>1.f entfällt</v>
      </c>
      <c r="B109" s="33">
        <f>D109*F6</f>
        <v>0</v>
      </c>
      <c r="C109" s="34">
        <v>21</v>
      </c>
      <c r="D109" s="35">
        <f>D76</f>
        <v>0</v>
      </c>
      <c r="E109" s="36"/>
      <c r="F109" s="37"/>
    </row>
    <row r="110" spans="1:8" s="9" customFormat="1" ht="12.5" customHeight="1" x14ac:dyDescent="0.25">
      <c r="A110" s="32" t="s">
        <v>7</v>
      </c>
      <c r="B110" s="33">
        <f t="shared" ref="B110:B118" si="0">D110*F$6</f>
        <v>0</v>
      </c>
      <c r="C110" s="34"/>
      <c r="D110" s="35">
        <f t="shared" ref="D110:D115" si="1">B9</f>
        <v>0</v>
      </c>
      <c r="E110" s="36"/>
      <c r="F110" s="37"/>
    </row>
    <row r="111" spans="1:8" s="9" customFormat="1" ht="12.5" customHeight="1" x14ac:dyDescent="0.25">
      <c r="A111" s="32" t="s">
        <v>9</v>
      </c>
      <c r="B111" s="33">
        <f t="shared" si="0"/>
        <v>375</v>
      </c>
      <c r="C111" s="34"/>
      <c r="D111" s="35">
        <f t="shared" si="1"/>
        <v>0.75</v>
      </c>
      <c r="E111" s="36"/>
      <c r="F111" s="37"/>
    </row>
    <row r="112" spans="1:8" s="9" customFormat="1" ht="12.5" customHeight="1" x14ac:dyDescent="0.25">
      <c r="A112" s="32" t="s">
        <v>10</v>
      </c>
      <c r="B112" s="33">
        <f t="shared" si="0"/>
        <v>0</v>
      </c>
      <c r="C112" s="34"/>
      <c r="D112" s="35">
        <f t="shared" si="1"/>
        <v>0</v>
      </c>
      <c r="E112" s="36"/>
      <c r="F112" s="37"/>
    </row>
    <row r="113" spans="1:8" s="9" customFormat="1" ht="12.5" customHeight="1" x14ac:dyDescent="0.25">
      <c r="A113" s="32" t="s">
        <v>11</v>
      </c>
      <c r="B113" s="33">
        <f t="shared" si="0"/>
        <v>0</v>
      </c>
      <c r="C113" s="34"/>
      <c r="D113" s="35">
        <f t="shared" si="1"/>
        <v>0</v>
      </c>
      <c r="E113" s="36"/>
      <c r="F113" s="37"/>
    </row>
    <row r="114" spans="1:8" s="9" customFormat="1" ht="12.5" customHeight="1" x14ac:dyDescent="0.25">
      <c r="A114" s="32" t="s">
        <v>24</v>
      </c>
      <c r="B114" s="33">
        <f t="shared" si="0"/>
        <v>0</v>
      </c>
      <c r="C114" s="34"/>
      <c r="D114" s="35">
        <f t="shared" si="1"/>
        <v>0</v>
      </c>
      <c r="E114" s="36"/>
      <c r="F114" s="37"/>
    </row>
    <row r="115" spans="1:8" s="9" customFormat="1" ht="12.5" customHeight="1" x14ac:dyDescent="0.25">
      <c r="A115" s="32" t="s">
        <v>13</v>
      </c>
      <c r="B115" s="33">
        <f t="shared" si="0"/>
        <v>0</v>
      </c>
      <c r="C115" s="34"/>
      <c r="D115" s="35">
        <f t="shared" si="1"/>
        <v>0</v>
      </c>
      <c r="E115" s="36"/>
      <c r="F115" s="37"/>
    </row>
    <row r="116" spans="1:8" s="9" customFormat="1" ht="12.5" customHeight="1" x14ac:dyDescent="0.25">
      <c r="A116" s="32" t="s">
        <v>102</v>
      </c>
      <c r="B116" s="201">
        <f t="shared" si="0"/>
        <v>3.26</v>
      </c>
      <c r="C116" s="34"/>
      <c r="D116" s="63">
        <f>0.7%-D58*2</f>
        <v>6.5199999999999998E-3</v>
      </c>
      <c r="E116" s="36"/>
      <c r="F116" s="37"/>
    </row>
    <row r="117" spans="1:8" s="9" customFormat="1" ht="12.5" customHeight="1" x14ac:dyDescent="0.25">
      <c r="A117" s="32" t="s">
        <v>68</v>
      </c>
      <c r="B117" s="33">
        <f t="shared" si="0"/>
        <v>0</v>
      </c>
      <c r="C117" s="34"/>
      <c r="D117" s="35">
        <f>F13</f>
        <v>0</v>
      </c>
      <c r="E117" s="36"/>
      <c r="F117" s="37"/>
    </row>
    <row r="118" spans="1:8" s="45" customFormat="1" ht="12.5" customHeight="1" x14ac:dyDescent="0.25">
      <c r="A118" s="53" t="s">
        <v>25</v>
      </c>
      <c r="B118" s="128">
        <f t="shared" si="0"/>
        <v>0.25</v>
      </c>
      <c r="C118" s="44"/>
      <c r="D118" s="144">
        <v>5.0000000000000001E-4</v>
      </c>
      <c r="E118" s="64"/>
      <c r="F118" s="65"/>
    </row>
    <row r="119" spans="1:8" s="45" customFormat="1" ht="12.5" customHeight="1" x14ac:dyDescent="0.25">
      <c r="A119" s="66" t="s">
        <v>66</v>
      </c>
      <c r="B119" s="79"/>
      <c r="C119" s="44"/>
      <c r="D119" s="63"/>
      <c r="E119" s="64"/>
      <c r="F119" s="65"/>
    </row>
    <row r="120" spans="1:8" s="9" customFormat="1" ht="12.5" customHeight="1" x14ac:dyDescent="0.25">
      <c r="A120" s="32" t="s">
        <v>26</v>
      </c>
      <c r="B120" s="33"/>
      <c r="C120" s="34">
        <v>21</v>
      </c>
      <c r="D120" s="35"/>
      <c r="E120" s="36">
        <v>2.0833333333333332E-2</v>
      </c>
      <c r="F120" s="37">
        <f>F123-E120</f>
        <v>46025.409722222219</v>
      </c>
    </row>
    <row r="121" spans="1:8" s="9" customFormat="1" ht="12.5" customHeight="1" x14ac:dyDescent="0.25">
      <c r="A121" s="32" t="s">
        <v>27</v>
      </c>
      <c r="B121" s="33">
        <f>D121*F$6</f>
        <v>11.000000000000002</v>
      </c>
      <c r="C121" s="34"/>
      <c r="D121" s="63">
        <f>(B20+F12+F10+F11+F13)*2.2%</f>
        <v>2.2000000000000002E-2</v>
      </c>
      <c r="E121" s="36"/>
      <c r="F121" s="37"/>
    </row>
    <row r="122" spans="1:8" s="9" customFormat="1" ht="12.5" customHeight="1" x14ac:dyDescent="0.25">
      <c r="A122" s="32" t="s">
        <v>92</v>
      </c>
      <c r="B122" s="33">
        <f>D122*F$6</f>
        <v>2</v>
      </c>
      <c r="C122" s="34"/>
      <c r="D122" s="63">
        <v>4.0000000000000001E-3</v>
      </c>
      <c r="E122" s="36"/>
      <c r="F122" s="37"/>
    </row>
    <row r="123" spans="1:8" s="9" customFormat="1" ht="12.5" customHeight="1" x14ac:dyDescent="0.25">
      <c r="A123" s="66" t="s">
        <v>62</v>
      </c>
      <c r="B123" s="33"/>
      <c r="C123" s="34"/>
      <c r="D123" s="35"/>
      <c r="E123" s="46">
        <v>6.9444444444444441E-3</v>
      </c>
      <c r="F123" s="47">
        <f>F132-E123</f>
        <v>46025.430555555555</v>
      </c>
    </row>
    <row r="124" spans="1:8" s="9" customFormat="1" ht="12.5" customHeight="1" x14ac:dyDescent="0.25">
      <c r="A124" s="10" t="s">
        <v>119</v>
      </c>
      <c r="B124" s="33"/>
      <c r="C124" s="34"/>
      <c r="D124" s="35"/>
      <c r="E124" s="46"/>
      <c r="F124" s="47"/>
    </row>
    <row r="125" spans="1:8" s="9" customFormat="1" ht="12.5" customHeight="1" x14ac:dyDescent="0.25">
      <c r="A125" s="66" t="s">
        <v>118</v>
      </c>
      <c r="B125" s="33"/>
      <c r="C125" s="34"/>
      <c r="D125" s="35"/>
      <c r="E125" s="46"/>
      <c r="F125" s="47"/>
    </row>
    <row r="126" spans="1:8" s="9" customFormat="1" ht="12.5" customHeight="1" x14ac:dyDescent="0.25">
      <c r="A126" s="11" t="str">
        <f>A83</f>
        <v>1.g entfällt</v>
      </c>
      <c r="B126" s="33">
        <f t="shared" ref="B126:B127" si="2">D126*F$6</f>
        <v>0</v>
      </c>
      <c r="C126" s="90">
        <v>21</v>
      </c>
      <c r="D126" s="48">
        <f>D86*2</f>
        <v>0</v>
      </c>
      <c r="E126" s="11"/>
      <c r="F126" s="11"/>
      <c r="H126" s="42"/>
    </row>
    <row r="127" spans="1:8" s="9" customFormat="1" ht="12.5" customHeight="1" x14ac:dyDescent="0.25">
      <c r="A127" s="11" t="str">
        <f>A90</f>
        <v>1.h entfällt</v>
      </c>
      <c r="B127" s="33">
        <f t="shared" si="2"/>
        <v>0</v>
      </c>
      <c r="C127" s="90">
        <f>C90</f>
        <v>21</v>
      </c>
      <c r="D127" s="48">
        <f>D92+D92*0.75</f>
        <v>0</v>
      </c>
      <c r="E127" s="11"/>
      <c r="F127" s="11"/>
      <c r="H127" s="42"/>
    </row>
    <row r="128" spans="1:8" s="9" customFormat="1" ht="12.5" customHeight="1" x14ac:dyDescent="0.25">
      <c r="A128" s="53" t="s">
        <v>89</v>
      </c>
      <c r="B128" s="171">
        <f>D128*F$6</f>
        <v>25</v>
      </c>
      <c r="C128" s="172">
        <v>16</v>
      </c>
      <c r="D128" s="35">
        <v>0.05</v>
      </c>
      <c r="E128" s="36"/>
      <c r="F128" s="37"/>
    </row>
    <row r="129" spans="1:6" s="12" customFormat="1" ht="12.5" customHeight="1" x14ac:dyDescent="0.25">
      <c r="A129" s="32" t="s">
        <v>28</v>
      </c>
      <c r="B129" s="33"/>
      <c r="C129" s="34">
        <v>25</v>
      </c>
      <c r="D129" s="49"/>
      <c r="E129" s="36"/>
      <c r="F129" s="37"/>
    </row>
    <row r="130" spans="1:6" s="9" customFormat="1" ht="12.5" customHeight="1" x14ac:dyDescent="0.25">
      <c r="A130" s="32"/>
      <c r="B130" s="33"/>
      <c r="C130" s="41"/>
      <c r="D130" s="43"/>
      <c r="E130" s="36"/>
      <c r="F130" s="37"/>
    </row>
    <row r="131" spans="1:6" s="9" customFormat="1" ht="12.5" customHeight="1" x14ac:dyDescent="0.25">
      <c r="A131" s="147" t="s">
        <v>76</v>
      </c>
      <c r="B131" s="50"/>
      <c r="C131" s="51"/>
      <c r="D131" s="52"/>
      <c r="E131" s="75"/>
      <c r="F131" s="74"/>
    </row>
    <row r="132" spans="1:6" s="12" customFormat="1" ht="12.5" customHeight="1" x14ac:dyDescent="0.25">
      <c r="A132" s="32" t="s">
        <v>88</v>
      </c>
      <c r="B132" s="33"/>
      <c r="C132" s="118">
        <v>21</v>
      </c>
      <c r="D132" s="119"/>
      <c r="E132" s="120">
        <v>0.10416666666666667</v>
      </c>
      <c r="F132" s="121">
        <f>F137-E132</f>
        <v>46025.4375</v>
      </c>
    </row>
    <row r="133" spans="1:6" s="45" customFormat="1" ht="12.5" customHeight="1" x14ac:dyDescent="0.25">
      <c r="A133" s="66" t="s">
        <v>29</v>
      </c>
      <c r="B133" s="76"/>
      <c r="C133" s="44"/>
      <c r="D133" s="63"/>
      <c r="E133" s="64"/>
      <c r="F133" s="65"/>
    </row>
    <row r="134" spans="1:6" s="45" customFormat="1" ht="12.5" customHeight="1" x14ac:dyDescent="0.25">
      <c r="A134" s="66" t="s">
        <v>127</v>
      </c>
      <c r="B134" s="76"/>
      <c r="C134" s="44"/>
      <c r="D134" s="63"/>
      <c r="E134" s="64"/>
      <c r="F134" s="65"/>
    </row>
    <row r="135" spans="1:6" s="9" customFormat="1" ht="12.5" customHeight="1" x14ac:dyDescent="0.25">
      <c r="A135" s="11"/>
      <c r="B135" s="55"/>
      <c r="C135" s="34"/>
      <c r="D135" s="56"/>
      <c r="E135" s="57"/>
      <c r="F135" s="37"/>
    </row>
    <row r="136" spans="1:6" s="9" customFormat="1" ht="12.5" customHeight="1" x14ac:dyDescent="0.25">
      <c r="A136" s="147" t="s">
        <v>30</v>
      </c>
      <c r="B136" s="58"/>
      <c r="C136" s="51"/>
      <c r="D136" s="52"/>
      <c r="E136" s="30"/>
      <c r="F136" s="31"/>
    </row>
    <row r="137" spans="1:6" s="10" customFormat="1" ht="12.5" customHeight="1" x14ac:dyDescent="0.25">
      <c r="A137" s="66" t="s">
        <v>31</v>
      </c>
      <c r="B137" s="70"/>
      <c r="C137" s="68"/>
      <c r="D137" s="71"/>
      <c r="E137" s="46">
        <v>6.9444444444444441E-3</v>
      </c>
      <c r="F137" s="47">
        <f>F138-E137</f>
        <v>46025.541666666664</v>
      </c>
    </row>
    <row r="138" spans="1:6" s="9" customFormat="1" ht="12.5" customHeight="1" x14ac:dyDescent="0.25">
      <c r="A138" s="32" t="s">
        <v>91</v>
      </c>
      <c r="B138" s="33"/>
      <c r="C138" s="34">
        <v>21</v>
      </c>
      <c r="D138" s="63"/>
      <c r="E138" s="36">
        <v>8.3333333333333329E-2</v>
      </c>
      <c r="F138" s="37">
        <f>F$142-E138</f>
        <v>46025.548611111109</v>
      </c>
    </row>
    <row r="139" spans="1:6" ht="12.5" customHeight="1" x14ac:dyDescent="0.25"/>
    <row r="140" spans="1:6" s="9" customFormat="1" ht="12.5" customHeight="1" x14ac:dyDescent="0.25">
      <c r="A140" s="147" t="s">
        <v>63</v>
      </c>
      <c r="B140" s="58"/>
      <c r="C140" s="59"/>
      <c r="D140" s="52"/>
      <c r="E140" s="30"/>
      <c r="F140" s="31"/>
    </row>
    <row r="141" spans="1:6" s="9" customFormat="1" ht="12.5" customHeight="1" x14ac:dyDescent="0.25">
      <c r="A141" s="53" t="s">
        <v>87</v>
      </c>
      <c r="B141" s="54"/>
      <c r="C141" s="34">
        <v>250</v>
      </c>
      <c r="D141" s="71"/>
      <c r="E141" s="36">
        <v>2.0833333333333332E-2</v>
      </c>
      <c r="F141" s="37">
        <f>F145-E141</f>
        <v>46025.614583333328</v>
      </c>
    </row>
    <row r="142" spans="1:6" s="10" customFormat="1" ht="12.5" customHeight="1" x14ac:dyDescent="0.25">
      <c r="A142" s="66" t="s">
        <v>84</v>
      </c>
      <c r="B142" s="70"/>
      <c r="C142" s="68"/>
      <c r="E142" s="46">
        <v>3.472222222222222E-3</v>
      </c>
      <c r="F142" s="47">
        <f>F145-E142</f>
        <v>46025.631944444445</v>
      </c>
    </row>
    <row r="143" spans="1:6" s="10" customFormat="1" ht="12.5" customHeight="1" x14ac:dyDescent="0.25">
      <c r="A143" s="70" t="s">
        <v>96</v>
      </c>
      <c r="B143" s="72"/>
      <c r="C143" s="68"/>
      <c r="D143" s="71"/>
      <c r="E143" s="46"/>
      <c r="F143" s="47"/>
    </row>
    <row r="144" spans="1:6" s="10" customFormat="1" ht="12.5" customHeight="1" x14ac:dyDescent="0.25">
      <c r="A144" s="66" t="s">
        <v>33</v>
      </c>
      <c r="B144" s="67"/>
      <c r="C144" s="68"/>
      <c r="D144" s="71"/>
      <c r="E144" s="46"/>
      <c r="F144" s="47"/>
    </row>
    <row r="145" spans="1:14" s="9" customFormat="1" ht="12.5" customHeight="1" x14ac:dyDescent="0.25">
      <c r="A145" s="53" t="s">
        <v>34</v>
      </c>
      <c r="B145" s="33"/>
      <c r="C145" s="34">
        <v>240</v>
      </c>
      <c r="D145" s="56"/>
      <c r="E145" s="36">
        <v>6.9444444444444441E-3</v>
      </c>
      <c r="F145" s="37">
        <f>F147-E145</f>
        <v>46025.635416666664</v>
      </c>
    </row>
    <row r="146" spans="1:14" s="10" customFormat="1" ht="12.5" customHeight="1" x14ac:dyDescent="0.25">
      <c r="A146" s="66" t="s">
        <v>35</v>
      </c>
      <c r="B146" s="67"/>
      <c r="C146" s="68"/>
      <c r="D146" s="71"/>
      <c r="E146" s="46"/>
      <c r="F146" s="47"/>
    </row>
    <row r="147" spans="1:14" s="9" customFormat="1" ht="12.5" customHeight="1" x14ac:dyDescent="0.25">
      <c r="A147" s="53" t="s">
        <v>36</v>
      </c>
      <c r="B147" s="54"/>
      <c r="C147" s="34">
        <v>210</v>
      </c>
      <c r="D147" s="49"/>
      <c r="E147" s="36">
        <v>2.4305555555555556E-2</v>
      </c>
      <c r="F147" s="37">
        <f>F148-E147</f>
        <v>46025.642361111109</v>
      </c>
    </row>
    <row r="148" spans="1:14" s="9" customFormat="1" ht="12.5" customHeight="1" x14ac:dyDescent="0.25">
      <c r="A148" s="53" t="s">
        <v>37</v>
      </c>
      <c r="B148" s="54"/>
      <c r="C148" s="34"/>
      <c r="D148" s="56"/>
      <c r="E148" s="36"/>
      <c r="F148" s="37">
        <f>F4+F5</f>
        <v>46025.666666666664</v>
      </c>
    </row>
    <row r="149" spans="1:14" s="9" customFormat="1" ht="12.5" x14ac:dyDescent="0.25">
      <c r="F149" s="60"/>
    </row>
    <row r="150" spans="1:14" s="153" customFormat="1" ht="12.5" customHeight="1" x14ac:dyDescent="0.3">
      <c r="A150" s="2"/>
      <c r="D150" s="202" t="s">
        <v>74</v>
      </c>
      <c r="E150" s="203"/>
      <c r="F150" s="203"/>
    </row>
    <row r="151" spans="1:14" s="153" customFormat="1" ht="12.5" customHeight="1" x14ac:dyDescent="0.3">
      <c r="A151" s="2"/>
      <c r="D151" s="203"/>
      <c r="E151" s="203"/>
      <c r="F151" s="203"/>
      <c r="G151" s="154"/>
    </row>
    <row r="152" spans="1:14" s="153" customFormat="1" ht="12.5" customHeight="1" x14ac:dyDescent="0.3">
      <c r="A152" s="2"/>
      <c r="D152" s="203"/>
      <c r="E152" s="203"/>
      <c r="F152" s="203"/>
      <c r="G152" s="154"/>
    </row>
    <row r="153" spans="1:14" s="153" customFormat="1" ht="12" customHeight="1" x14ac:dyDescent="0.3">
      <c r="A153" s="2"/>
      <c r="B153" s="2"/>
      <c r="C153" s="2"/>
      <c r="D153" s="2"/>
      <c r="E153" s="2"/>
      <c r="F153" s="2"/>
      <c r="G153" s="154"/>
    </row>
    <row r="154" spans="1:14" s="153" customFormat="1" ht="12" customHeight="1" x14ac:dyDescent="0.3">
      <c r="A154" s="2"/>
      <c r="B154" s="2"/>
      <c r="C154" s="2"/>
      <c r="D154" s="2"/>
      <c r="E154" s="2"/>
      <c r="F154" s="2"/>
      <c r="G154" s="154"/>
    </row>
    <row r="155" spans="1:14" s="153" customFormat="1" ht="12" customHeight="1" x14ac:dyDescent="0.3">
      <c r="A155" s="2"/>
      <c r="B155" s="2"/>
      <c r="C155" s="2"/>
      <c r="D155" s="2"/>
      <c r="E155" s="2"/>
      <c r="F155" s="2"/>
      <c r="G155" s="154"/>
    </row>
    <row r="156" spans="1:14" s="153" customFormat="1" ht="12" customHeight="1" x14ac:dyDescent="0.3">
      <c r="A156" s="2"/>
      <c r="B156" s="2"/>
      <c r="C156" s="2"/>
      <c r="D156" s="2"/>
      <c r="E156" s="2"/>
      <c r="F156" s="2"/>
      <c r="G156" s="154"/>
    </row>
    <row r="157" spans="1:14" s="153" customFormat="1" ht="12" customHeight="1" x14ac:dyDescent="0.3">
      <c r="A157" s="2"/>
      <c r="B157" s="83"/>
      <c r="C157" s="155"/>
      <c r="D157" s="154"/>
      <c r="E157" s="154"/>
      <c r="F157" s="154"/>
      <c r="G157" s="154"/>
    </row>
    <row r="158" spans="1:14" s="153" customFormat="1" ht="12" customHeight="1" x14ac:dyDescent="0.3">
      <c r="B158" s="156"/>
      <c r="C158" s="155"/>
      <c r="D158" s="154"/>
      <c r="E158" s="154"/>
      <c r="F158" s="154"/>
      <c r="G158" s="154"/>
    </row>
    <row r="159" spans="1:14" s="153" customFormat="1" ht="12" hidden="1" customHeight="1" thickBot="1" x14ac:dyDescent="0.35">
      <c r="A159" s="157" t="s">
        <v>43</v>
      </c>
      <c r="B159" s="158"/>
      <c r="C159" s="156" t="s">
        <v>38</v>
      </c>
      <c r="D159" s="156" t="s">
        <v>39</v>
      </c>
      <c r="E159" s="156" t="s">
        <v>40</v>
      </c>
      <c r="F159" s="156" t="s">
        <v>41</v>
      </c>
      <c r="G159" s="156" t="s">
        <v>42</v>
      </c>
      <c r="I159" s="156" t="s">
        <v>69</v>
      </c>
      <c r="J159" s="156" t="s">
        <v>38</v>
      </c>
      <c r="K159" s="156" t="s">
        <v>39</v>
      </c>
      <c r="L159" s="156" t="s">
        <v>40</v>
      </c>
      <c r="M159" s="156" t="s">
        <v>41</v>
      </c>
      <c r="N159" s="156" t="s">
        <v>42</v>
      </c>
    </row>
    <row r="160" spans="1:14" s="153" customFormat="1" ht="12" hidden="1" customHeight="1" x14ac:dyDescent="0.3">
      <c r="A160" s="159" t="s">
        <v>21</v>
      </c>
      <c r="B160" s="160">
        <f>B26</f>
        <v>300</v>
      </c>
      <c r="C160" s="155">
        <f t="shared" ref="C160:C183" si="3">J160/100*$B160</f>
        <v>0</v>
      </c>
      <c r="D160" s="154">
        <f t="shared" ref="D160:D183" si="4">K160/100*$B160</f>
        <v>0</v>
      </c>
      <c r="E160" s="154">
        <f t="shared" ref="E160:E183" si="5">L160/100*$B160</f>
        <v>0</v>
      </c>
      <c r="F160" s="154">
        <f t="shared" ref="F160:F183" si="6">M160/100*$B160</f>
        <v>0</v>
      </c>
      <c r="G160" s="154">
        <f t="shared" ref="G160:G183" si="7">N160/100*$B160</f>
        <v>0</v>
      </c>
      <c r="I160" s="156" t="s">
        <v>21</v>
      </c>
      <c r="J160" s="155">
        <v>0</v>
      </c>
      <c r="K160" s="154">
        <v>0</v>
      </c>
      <c r="L160" s="154">
        <v>0</v>
      </c>
      <c r="M160" s="154">
        <v>0</v>
      </c>
      <c r="N160" s="154">
        <v>0</v>
      </c>
    </row>
    <row r="161" spans="1:14" s="153" customFormat="1" ht="12" hidden="1" customHeight="1" x14ac:dyDescent="0.3">
      <c r="A161" s="161" t="s">
        <v>7</v>
      </c>
      <c r="B161" s="162">
        <f>B9*$F$6</f>
        <v>0</v>
      </c>
      <c r="C161" s="155">
        <f t="shared" si="3"/>
        <v>0</v>
      </c>
      <c r="D161" s="154">
        <f t="shared" si="4"/>
        <v>0</v>
      </c>
      <c r="E161" s="154">
        <f t="shared" si="5"/>
        <v>0</v>
      </c>
      <c r="F161" s="154">
        <f t="shared" si="6"/>
        <v>0</v>
      </c>
      <c r="G161" s="154">
        <f t="shared" si="7"/>
        <v>0</v>
      </c>
      <c r="I161" s="156" t="s">
        <v>7</v>
      </c>
      <c r="J161" s="155">
        <v>350</v>
      </c>
      <c r="K161" s="154">
        <v>71.7</v>
      </c>
      <c r="L161" s="154">
        <v>11.7</v>
      </c>
      <c r="M161" s="154">
        <v>2.2000000000000002</v>
      </c>
      <c r="N161" s="154">
        <v>0.8</v>
      </c>
    </row>
    <row r="162" spans="1:14" s="153" customFormat="1" ht="12" hidden="1" customHeight="1" x14ac:dyDescent="0.3">
      <c r="A162" s="161" t="s">
        <v>9</v>
      </c>
      <c r="B162" s="162">
        <f>(B10+B19)*$F$6</f>
        <v>475</v>
      </c>
      <c r="C162" s="155">
        <f t="shared" si="3"/>
        <v>1648.25</v>
      </c>
      <c r="D162" s="154">
        <f t="shared" si="4"/>
        <v>342</v>
      </c>
      <c r="E162" s="154">
        <f t="shared" si="5"/>
        <v>50.35</v>
      </c>
      <c r="F162" s="154">
        <f t="shared" si="6"/>
        <v>16.625</v>
      </c>
      <c r="G162" s="154">
        <f t="shared" si="7"/>
        <v>5.2250000000000005</v>
      </c>
      <c r="I162" s="156" t="s">
        <v>9</v>
      </c>
      <c r="J162" s="155">
        <v>347</v>
      </c>
      <c r="K162" s="154">
        <v>72</v>
      </c>
      <c r="L162" s="154">
        <v>10.6</v>
      </c>
      <c r="M162" s="154">
        <v>3.5</v>
      </c>
      <c r="N162" s="154">
        <v>1.1000000000000001</v>
      </c>
    </row>
    <row r="163" spans="1:14" s="153" customFormat="1" ht="12" hidden="1" customHeight="1" x14ac:dyDescent="0.3">
      <c r="A163" s="161" t="s">
        <v>44</v>
      </c>
      <c r="B163" s="162">
        <f>(B11+B15/2+B$18/2)*F$6</f>
        <v>12.5</v>
      </c>
      <c r="C163" s="155">
        <f t="shared" ref="C163:G164" si="8">J163/100*$B163</f>
        <v>40.625</v>
      </c>
      <c r="D163" s="154">
        <f t="shared" si="8"/>
        <v>8.4875000000000007</v>
      </c>
      <c r="E163" s="154">
        <f t="shared" si="8"/>
        <v>0.92500000000000016</v>
      </c>
      <c r="F163" s="154">
        <f t="shared" si="8"/>
        <v>0.86250000000000004</v>
      </c>
      <c r="G163" s="154">
        <f t="shared" si="8"/>
        <v>0.13750000000000001</v>
      </c>
      <c r="I163" s="156" t="s">
        <v>44</v>
      </c>
      <c r="J163" s="155">
        <v>325</v>
      </c>
      <c r="K163" s="154">
        <v>67.900000000000006</v>
      </c>
      <c r="L163" s="154">
        <v>7.4</v>
      </c>
      <c r="M163" s="154">
        <v>6.9</v>
      </c>
      <c r="N163" s="154">
        <v>1.1000000000000001</v>
      </c>
    </row>
    <row r="164" spans="1:14" s="153" customFormat="1" ht="12" hidden="1" customHeight="1" x14ac:dyDescent="0.3">
      <c r="A164" s="161" t="s">
        <v>11</v>
      </c>
      <c r="B164" s="162">
        <f>(B12+B17)*$F$6</f>
        <v>0</v>
      </c>
      <c r="C164" s="155">
        <f t="shared" si="8"/>
        <v>0</v>
      </c>
      <c r="D164" s="154">
        <f t="shared" si="8"/>
        <v>0</v>
      </c>
      <c r="E164" s="154">
        <f t="shared" si="8"/>
        <v>0</v>
      </c>
      <c r="F164" s="154">
        <f t="shared" si="8"/>
        <v>0</v>
      </c>
      <c r="G164" s="154">
        <f t="shared" si="8"/>
        <v>0</v>
      </c>
      <c r="I164" s="156" t="s">
        <v>11</v>
      </c>
      <c r="J164" s="155">
        <v>355</v>
      </c>
      <c r="K164" s="154">
        <v>63.7</v>
      </c>
      <c r="L164" s="154">
        <v>12.7</v>
      </c>
      <c r="M164" s="154">
        <v>8.3000000000000007</v>
      </c>
      <c r="N164" s="154">
        <v>1.7</v>
      </c>
    </row>
    <row r="165" spans="1:14" s="153" customFormat="1" ht="12" hidden="1" customHeight="1" x14ac:dyDescent="0.3">
      <c r="A165" s="161" t="s">
        <v>24</v>
      </c>
      <c r="B165" s="162">
        <f>B13*$F$6</f>
        <v>0</v>
      </c>
      <c r="C165" s="155">
        <f t="shared" si="3"/>
        <v>0</v>
      </c>
      <c r="D165" s="154">
        <f t="shared" si="4"/>
        <v>0</v>
      </c>
      <c r="E165" s="154">
        <f t="shared" si="5"/>
        <v>0</v>
      </c>
      <c r="F165" s="154">
        <f t="shared" si="6"/>
        <v>0</v>
      </c>
      <c r="G165" s="154">
        <f t="shared" si="7"/>
        <v>0</v>
      </c>
      <c r="I165" s="156" t="s">
        <v>24</v>
      </c>
      <c r="J165" s="155">
        <v>325</v>
      </c>
      <c r="K165" s="154">
        <v>59.5</v>
      </c>
      <c r="L165" s="154">
        <v>11.4</v>
      </c>
      <c r="M165" s="154">
        <v>10</v>
      </c>
      <c r="N165" s="154">
        <v>0.9</v>
      </c>
    </row>
    <row r="166" spans="1:14" s="153" customFormat="1" ht="12" hidden="1" customHeight="1" x14ac:dyDescent="0.3">
      <c r="A166" s="161" t="s">
        <v>13</v>
      </c>
      <c r="B166" s="162">
        <f>(B14+B15/2+B18/2)*F$6</f>
        <v>12.5</v>
      </c>
      <c r="C166" s="155">
        <f t="shared" si="3"/>
        <v>40.375</v>
      </c>
      <c r="D166" s="154">
        <f t="shared" si="4"/>
        <v>7.5874999999999995</v>
      </c>
      <c r="E166" s="154">
        <f t="shared" si="5"/>
        <v>1.1875</v>
      </c>
      <c r="F166" s="154">
        <f t="shared" si="6"/>
        <v>1.675</v>
      </c>
      <c r="G166" s="154">
        <f t="shared" si="7"/>
        <v>0.12875</v>
      </c>
      <c r="I166" s="156" t="s">
        <v>13</v>
      </c>
      <c r="J166" s="155">
        <v>323</v>
      </c>
      <c r="K166" s="154">
        <v>60.7</v>
      </c>
      <c r="L166" s="154">
        <v>9.5</v>
      </c>
      <c r="M166" s="154">
        <v>13.4</v>
      </c>
      <c r="N166" s="154">
        <v>1.03</v>
      </c>
    </row>
    <row r="167" spans="1:14" s="153" customFormat="1" ht="12" hidden="1" customHeight="1" x14ac:dyDescent="0.3">
      <c r="A167" s="161" t="s">
        <v>68</v>
      </c>
      <c r="B167" s="162">
        <f>B117</f>
        <v>0</v>
      </c>
      <c r="C167" s="155">
        <f t="shared" si="3"/>
        <v>0</v>
      </c>
      <c r="D167" s="154">
        <f t="shared" si="4"/>
        <v>0</v>
      </c>
      <c r="E167" s="154">
        <f t="shared" si="5"/>
        <v>0</v>
      </c>
      <c r="F167" s="154">
        <f t="shared" si="6"/>
        <v>0</v>
      </c>
      <c r="G167" s="154">
        <f t="shared" si="7"/>
        <v>0</v>
      </c>
      <c r="I167" s="156" t="s">
        <v>68</v>
      </c>
      <c r="J167" s="155">
        <v>200</v>
      </c>
      <c r="K167" s="154">
        <v>3.5</v>
      </c>
      <c r="L167" s="154">
        <v>2</v>
      </c>
      <c r="M167" s="154">
        <v>85</v>
      </c>
      <c r="N167" s="154">
        <v>1.5</v>
      </c>
    </row>
    <row r="168" spans="1:14" s="153" customFormat="1" ht="12" hidden="1" customHeight="1" x14ac:dyDescent="0.3">
      <c r="A168" s="161" t="s">
        <v>45</v>
      </c>
      <c r="B168" s="162">
        <f>B116</f>
        <v>3.26</v>
      </c>
      <c r="C168" s="155">
        <f t="shared" si="3"/>
        <v>4.1402000000000001</v>
      </c>
      <c r="D168" s="154">
        <f t="shared" si="4"/>
        <v>0.40749999999999997</v>
      </c>
      <c r="E168" s="154">
        <f t="shared" si="5"/>
        <v>0.36185999999999996</v>
      </c>
      <c r="F168" s="154">
        <f t="shared" si="6"/>
        <v>0.33251999999999998</v>
      </c>
      <c r="G168" s="154">
        <f t="shared" si="7"/>
        <v>6.5199999999999994E-2</v>
      </c>
      <c r="I168" s="156" t="s">
        <v>45</v>
      </c>
      <c r="J168" s="155">
        <v>127</v>
      </c>
      <c r="K168" s="154">
        <v>12.5</v>
      </c>
      <c r="L168" s="154">
        <v>11.1</v>
      </c>
      <c r="M168" s="154">
        <v>10.199999999999999</v>
      </c>
      <c r="N168" s="154">
        <v>2</v>
      </c>
    </row>
    <row r="169" spans="1:14" s="153" customFormat="1" ht="12" hidden="1" customHeight="1" x14ac:dyDescent="0.3">
      <c r="A169" s="161" t="s">
        <v>27</v>
      </c>
      <c r="B169" s="162">
        <f>B121</f>
        <v>11.000000000000002</v>
      </c>
      <c r="C169" s="155">
        <f t="shared" si="3"/>
        <v>0</v>
      </c>
      <c r="D169" s="154">
        <f t="shared" si="4"/>
        <v>0</v>
      </c>
      <c r="E169" s="154">
        <f t="shared" si="5"/>
        <v>0</v>
      </c>
      <c r="F169" s="154">
        <f t="shared" si="6"/>
        <v>0</v>
      </c>
      <c r="G169" s="154">
        <f t="shared" si="7"/>
        <v>0</v>
      </c>
      <c r="I169" s="156" t="s">
        <v>27</v>
      </c>
      <c r="J169" s="155">
        <v>0</v>
      </c>
      <c r="K169" s="154">
        <v>0</v>
      </c>
      <c r="L169" s="154">
        <v>0</v>
      </c>
      <c r="M169" s="154">
        <v>0</v>
      </c>
      <c r="N169" s="154">
        <v>0</v>
      </c>
    </row>
    <row r="170" spans="1:14" s="153" customFormat="1" ht="12" hidden="1" customHeight="1" x14ac:dyDescent="0.3">
      <c r="A170" s="161" t="s">
        <v>46</v>
      </c>
      <c r="B170" s="162">
        <f>0</f>
        <v>0</v>
      </c>
      <c r="C170" s="155">
        <f t="shared" si="3"/>
        <v>0</v>
      </c>
      <c r="D170" s="154">
        <f t="shared" si="4"/>
        <v>0</v>
      </c>
      <c r="E170" s="154">
        <f t="shared" si="5"/>
        <v>0</v>
      </c>
      <c r="F170" s="154">
        <f t="shared" si="6"/>
        <v>0</v>
      </c>
      <c r="G170" s="154">
        <f t="shared" si="7"/>
        <v>0</v>
      </c>
      <c r="I170" s="156" t="s">
        <v>46</v>
      </c>
      <c r="J170" s="155">
        <v>304</v>
      </c>
      <c r="K170" s="154">
        <v>82.4</v>
      </c>
      <c r="L170" s="154">
        <v>0.3</v>
      </c>
      <c r="M170" s="154">
        <v>0.2</v>
      </c>
      <c r="N170" s="154">
        <v>0</v>
      </c>
    </row>
    <row r="171" spans="1:14" s="153" customFormat="1" ht="12" hidden="1" customHeight="1" x14ac:dyDescent="0.3">
      <c r="A171" s="161" t="s">
        <v>8</v>
      </c>
      <c r="B171" s="162">
        <f>F9*$F$6</f>
        <v>0</v>
      </c>
      <c r="C171" s="155">
        <f t="shared" si="3"/>
        <v>0</v>
      </c>
      <c r="D171" s="154">
        <f t="shared" si="4"/>
        <v>0</v>
      </c>
      <c r="E171" s="154">
        <f t="shared" si="5"/>
        <v>0</v>
      </c>
      <c r="F171" s="154">
        <f t="shared" si="6"/>
        <v>0</v>
      </c>
      <c r="G171" s="154">
        <f t="shared" si="7"/>
        <v>0</v>
      </c>
      <c r="I171" s="156" t="s">
        <v>8</v>
      </c>
      <c r="J171" s="155">
        <v>213</v>
      </c>
      <c r="K171" s="154">
        <v>43</v>
      </c>
      <c r="L171" s="154">
        <v>6.6</v>
      </c>
      <c r="M171" s="154">
        <v>5</v>
      </c>
      <c r="N171" s="154">
        <v>0.9</v>
      </c>
    </row>
    <row r="172" spans="1:14" s="153" customFormat="1" ht="12" hidden="1" customHeight="1" x14ac:dyDescent="0.3">
      <c r="A172" s="161" t="s">
        <v>47</v>
      </c>
      <c r="B172" s="162">
        <v>0</v>
      </c>
      <c r="C172" s="155">
        <f t="shared" si="3"/>
        <v>0</v>
      </c>
      <c r="D172" s="154">
        <f t="shared" si="4"/>
        <v>0</v>
      </c>
      <c r="E172" s="154">
        <f t="shared" si="5"/>
        <v>0</v>
      </c>
      <c r="F172" s="154">
        <f t="shared" si="6"/>
        <v>0</v>
      </c>
      <c r="G172" s="154">
        <f t="shared" si="7"/>
        <v>0</v>
      </c>
      <c r="I172" s="156" t="s">
        <v>47</v>
      </c>
      <c r="J172" s="155">
        <v>598</v>
      </c>
      <c r="K172" s="154">
        <v>10.199999999999999</v>
      </c>
      <c r="L172" s="154">
        <v>20</v>
      </c>
      <c r="M172" s="154">
        <v>12</v>
      </c>
      <c r="N172" s="154">
        <v>50.7</v>
      </c>
    </row>
    <row r="173" spans="1:14" s="153" customFormat="1" ht="12" hidden="1" customHeight="1" x14ac:dyDescent="0.3">
      <c r="A173" s="161" t="s">
        <v>48</v>
      </c>
      <c r="B173" s="162">
        <f>B92</f>
        <v>0</v>
      </c>
      <c r="C173" s="155">
        <f t="shared" si="3"/>
        <v>0</v>
      </c>
      <c r="D173" s="154">
        <f t="shared" si="4"/>
        <v>0</v>
      </c>
      <c r="E173" s="154">
        <f t="shared" si="5"/>
        <v>0</v>
      </c>
      <c r="F173" s="154">
        <f t="shared" si="6"/>
        <v>0</v>
      </c>
      <c r="G173" s="154">
        <f t="shared" si="7"/>
        <v>0</v>
      </c>
      <c r="I173" s="156" t="s">
        <v>48</v>
      </c>
      <c r="J173" s="155">
        <v>500</v>
      </c>
      <c r="K173" s="154">
        <v>7.8</v>
      </c>
      <c r="L173" s="154">
        <v>23</v>
      </c>
      <c r="M173" s="154">
        <v>27.5</v>
      </c>
      <c r="N173" s="154">
        <v>37</v>
      </c>
    </row>
    <row r="174" spans="1:14" s="153" customFormat="1" ht="12" hidden="1" customHeight="1" x14ac:dyDescent="0.3">
      <c r="A174" s="161" t="s">
        <v>49</v>
      </c>
      <c r="B174" s="162">
        <v>0</v>
      </c>
      <c r="C174" s="155">
        <f t="shared" si="3"/>
        <v>0</v>
      </c>
      <c r="D174" s="154">
        <f t="shared" si="4"/>
        <v>0</v>
      </c>
      <c r="E174" s="154">
        <f t="shared" si="5"/>
        <v>0</v>
      </c>
      <c r="F174" s="154">
        <f t="shared" si="6"/>
        <v>0</v>
      </c>
      <c r="G174" s="154">
        <f t="shared" si="7"/>
        <v>0</v>
      </c>
      <c r="I174" s="156" t="s">
        <v>49</v>
      </c>
      <c r="J174" s="155">
        <v>533</v>
      </c>
      <c r="K174" s="154">
        <v>23.69</v>
      </c>
      <c r="L174" s="154">
        <v>18.04</v>
      </c>
      <c r="M174" s="154">
        <v>10</v>
      </c>
      <c r="N174" s="154">
        <v>44.7</v>
      </c>
    </row>
    <row r="175" spans="1:14" s="153" customFormat="1" ht="12" hidden="1" customHeight="1" x14ac:dyDescent="0.3">
      <c r="A175" s="161" t="s">
        <v>50</v>
      </c>
      <c r="B175" s="162">
        <v>0</v>
      </c>
      <c r="C175" s="155">
        <f t="shared" si="3"/>
        <v>0</v>
      </c>
      <c r="D175" s="154">
        <f t="shared" si="4"/>
        <v>0</v>
      </c>
      <c r="E175" s="154">
        <f t="shared" si="5"/>
        <v>0</v>
      </c>
      <c r="F175" s="154">
        <f t="shared" si="6"/>
        <v>0</v>
      </c>
      <c r="G175" s="154">
        <f t="shared" si="7"/>
        <v>0</v>
      </c>
      <c r="I175" s="156" t="s">
        <v>50</v>
      </c>
      <c r="J175" s="155">
        <v>584</v>
      </c>
      <c r="K175" s="154">
        <v>11.4</v>
      </c>
      <c r="L175" s="154">
        <v>20.8</v>
      </c>
      <c r="M175" s="154">
        <v>8.6</v>
      </c>
      <c r="N175" s="154">
        <v>51.5</v>
      </c>
    </row>
    <row r="176" spans="1:14" s="153" customFormat="1" ht="12" hidden="1" customHeight="1" x14ac:dyDescent="0.3">
      <c r="A176" s="161" t="s">
        <v>71</v>
      </c>
      <c r="B176" s="162">
        <f>B92</f>
        <v>0</v>
      </c>
      <c r="C176" s="155">
        <f t="shared" ref="C176" si="9">J176/100*$B176</f>
        <v>0</v>
      </c>
      <c r="D176" s="154">
        <f t="shared" ref="D176" si="10">K176/100*$B176</f>
        <v>0</v>
      </c>
      <c r="E176" s="154">
        <f t="shared" ref="E176" si="11">L176/100*$B176</f>
        <v>0</v>
      </c>
      <c r="F176" s="154">
        <f t="shared" ref="F176" si="12">M176/100*$B176</f>
        <v>0</v>
      </c>
      <c r="G176" s="154">
        <f t="shared" ref="G176" si="13">N176/100*$B176</f>
        <v>0</v>
      </c>
      <c r="I176" s="156" t="s">
        <v>71</v>
      </c>
      <c r="J176" s="155">
        <v>620</v>
      </c>
      <c r="K176" s="154">
        <v>19</v>
      </c>
      <c r="L176" s="154">
        <v>17</v>
      </c>
      <c r="M176" s="154">
        <v>7.5</v>
      </c>
      <c r="N176" s="154">
        <v>53</v>
      </c>
    </row>
    <row r="177" spans="1:14" s="153" customFormat="1" ht="12" hidden="1" customHeight="1" x14ac:dyDescent="0.3">
      <c r="A177" s="161" t="s">
        <v>51</v>
      </c>
      <c r="B177" s="162">
        <f>B79</f>
        <v>0</v>
      </c>
      <c r="C177" s="155">
        <f t="shared" si="3"/>
        <v>0</v>
      </c>
      <c r="D177" s="154">
        <f t="shared" si="4"/>
        <v>0</v>
      </c>
      <c r="E177" s="154">
        <f t="shared" si="5"/>
        <v>0</v>
      </c>
      <c r="F177" s="154">
        <f t="shared" si="6"/>
        <v>0</v>
      </c>
      <c r="G177" s="154">
        <f t="shared" si="7"/>
        <v>0</v>
      </c>
      <c r="I177" s="156" t="s">
        <v>51</v>
      </c>
      <c r="J177" s="155">
        <v>371</v>
      </c>
      <c r="K177" s="154">
        <v>58.7</v>
      </c>
      <c r="L177" s="154">
        <v>13.5</v>
      </c>
      <c r="M177" s="154">
        <v>10</v>
      </c>
      <c r="N177" s="154">
        <v>7</v>
      </c>
    </row>
    <row r="178" spans="1:14" s="153" customFormat="1" ht="12" hidden="1" customHeight="1" x14ac:dyDescent="0.3">
      <c r="A178" s="161" t="s">
        <v>52</v>
      </c>
      <c r="B178" s="162">
        <v>0</v>
      </c>
      <c r="C178" s="155">
        <f t="shared" si="3"/>
        <v>0</v>
      </c>
      <c r="D178" s="154">
        <f t="shared" si="4"/>
        <v>0</v>
      </c>
      <c r="E178" s="154">
        <f t="shared" si="5"/>
        <v>0</v>
      </c>
      <c r="F178" s="154">
        <f t="shared" si="6"/>
        <v>0</v>
      </c>
      <c r="G178" s="154">
        <f t="shared" si="7"/>
        <v>0</v>
      </c>
      <c r="I178" s="156" t="s">
        <v>52</v>
      </c>
      <c r="J178" s="155">
        <v>352</v>
      </c>
      <c r="K178" s="154">
        <v>66.400000000000006</v>
      </c>
      <c r="L178" s="154">
        <v>11.9</v>
      </c>
      <c r="M178" s="154">
        <v>0</v>
      </c>
      <c r="N178" s="154">
        <v>2.8</v>
      </c>
    </row>
    <row r="179" spans="1:14" s="153" customFormat="1" ht="12" hidden="1" customHeight="1" x14ac:dyDescent="0.3">
      <c r="A179" s="161" t="s">
        <v>53</v>
      </c>
      <c r="B179" s="162">
        <f>B86</f>
        <v>0</v>
      </c>
      <c r="C179" s="155">
        <f t="shared" si="3"/>
        <v>0</v>
      </c>
      <c r="D179" s="154">
        <f t="shared" si="4"/>
        <v>0</v>
      </c>
      <c r="E179" s="154">
        <f t="shared" si="5"/>
        <v>0</v>
      </c>
      <c r="F179" s="154">
        <f t="shared" si="6"/>
        <v>0</v>
      </c>
      <c r="G179" s="154">
        <f t="shared" si="7"/>
        <v>0</v>
      </c>
      <c r="I179" s="156" t="s">
        <v>53</v>
      </c>
      <c r="J179" s="155">
        <v>327</v>
      </c>
      <c r="K179" s="154">
        <v>59.6</v>
      </c>
      <c r="L179" s="154">
        <v>11.4</v>
      </c>
      <c r="M179" s="154">
        <v>0</v>
      </c>
      <c r="N179" s="154">
        <v>1.8</v>
      </c>
    </row>
    <row r="180" spans="1:14" s="153" customFormat="1" ht="12" hidden="1" customHeight="1" x14ac:dyDescent="0.3">
      <c r="A180" s="161" t="s">
        <v>54</v>
      </c>
      <c r="B180" s="162">
        <v>0</v>
      </c>
      <c r="C180" s="155">
        <f t="shared" si="3"/>
        <v>0</v>
      </c>
      <c r="D180" s="154">
        <f t="shared" si="4"/>
        <v>0</v>
      </c>
      <c r="E180" s="154">
        <f t="shared" si="5"/>
        <v>0</v>
      </c>
      <c r="F180" s="154">
        <f t="shared" si="6"/>
        <v>0</v>
      </c>
      <c r="G180" s="154">
        <f t="shared" si="7"/>
        <v>0</v>
      </c>
      <c r="I180" s="156" t="s">
        <v>54</v>
      </c>
      <c r="J180" s="155">
        <v>330</v>
      </c>
      <c r="K180" s="154">
        <v>63.3</v>
      </c>
      <c r="L180" s="154">
        <v>8.8000000000000007</v>
      </c>
      <c r="M180" s="154">
        <v>0</v>
      </c>
      <c r="N180" s="154">
        <v>1.8</v>
      </c>
    </row>
    <row r="181" spans="1:14" s="153" customFormat="1" ht="12" hidden="1" customHeight="1" x14ac:dyDescent="0.3">
      <c r="A181" s="161" t="s">
        <v>55</v>
      </c>
      <c r="B181" s="162">
        <v>0</v>
      </c>
      <c r="C181" s="155">
        <f t="shared" si="3"/>
        <v>0</v>
      </c>
      <c r="D181" s="154">
        <f t="shared" si="4"/>
        <v>0</v>
      </c>
      <c r="E181" s="154">
        <f t="shared" si="5"/>
        <v>0</v>
      </c>
      <c r="F181" s="154">
        <f t="shared" si="6"/>
        <v>0</v>
      </c>
      <c r="G181" s="154">
        <f t="shared" si="7"/>
        <v>0</v>
      </c>
      <c r="I181" s="156" t="s">
        <v>55</v>
      </c>
      <c r="J181" s="155">
        <v>347</v>
      </c>
      <c r="K181" s="154">
        <v>63</v>
      </c>
      <c r="L181" s="154">
        <v>17</v>
      </c>
      <c r="M181" s="154">
        <v>9.9</v>
      </c>
      <c r="N181" s="154">
        <v>2.7</v>
      </c>
    </row>
    <row r="182" spans="1:14" s="153" customFormat="1" ht="12" hidden="1" customHeight="1" x14ac:dyDescent="0.3">
      <c r="A182" s="161" t="s">
        <v>56</v>
      </c>
      <c r="B182" s="162">
        <v>0</v>
      </c>
      <c r="C182" s="155">
        <f t="shared" si="3"/>
        <v>0</v>
      </c>
      <c r="D182" s="154">
        <f t="shared" si="4"/>
        <v>0</v>
      </c>
      <c r="E182" s="154">
        <f t="shared" si="5"/>
        <v>0</v>
      </c>
      <c r="F182" s="154">
        <f t="shared" si="6"/>
        <v>0</v>
      </c>
      <c r="G182" s="154">
        <f t="shared" si="7"/>
        <v>0</v>
      </c>
      <c r="I182" s="156" t="s">
        <v>56</v>
      </c>
      <c r="J182" s="155">
        <v>713</v>
      </c>
      <c r="K182" s="154">
        <v>0.5</v>
      </c>
      <c r="L182" s="154">
        <v>0.4</v>
      </c>
      <c r="M182" s="154">
        <v>0</v>
      </c>
      <c r="N182" s="154">
        <v>79</v>
      </c>
    </row>
    <row r="183" spans="1:14" s="153" customFormat="1" ht="12" hidden="1" customHeight="1" thickBot="1" x14ac:dyDescent="0.35">
      <c r="A183" s="163" t="s">
        <v>57</v>
      </c>
      <c r="B183" s="164">
        <v>0</v>
      </c>
      <c r="C183" s="155">
        <f t="shared" si="3"/>
        <v>0</v>
      </c>
      <c r="D183" s="154">
        <f t="shared" si="4"/>
        <v>0</v>
      </c>
      <c r="E183" s="154">
        <f t="shared" si="5"/>
        <v>0</v>
      </c>
      <c r="F183" s="154">
        <f t="shared" si="6"/>
        <v>0</v>
      </c>
      <c r="G183" s="154">
        <f t="shared" si="7"/>
        <v>0</v>
      </c>
      <c r="I183" s="156" t="s">
        <v>57</v>
      </c>
      <c r="J183" s="155">
        <v>32</v>
      </c>
      <c r="K183" s="154">
        <v>7.7</v>
      </c>
      <c r="L183" s="154">
        <v>2.7E-2</v>
      </c>
      <c r="M183" s="154">
        <v>0.31</v>
      </c>
      <c r="N183" s="154">
        <v>0.05</v>
      </c>
    </row>
    <row r="184" spans="1:14" s="153" customFormat="1" ht="12" hidden="1" customHeight="1" x14ac:dyDescent="0.3">
      <c r="A184" s="156" t="s">
        <v>58</v>
      </c>
      <c r="B184" s="165">
        <f>SUM(B160:B183)</f>
        <v>814.26</v>
      </c>
      <c r="C184" s="155">
        <f>SUM(C160:C183)</f>
        <v>1733.3902</v>
      </c>
      <c r="D184" s="155">
        <f t="shared" ref="D184:G184" si="14">SUM(D160:D183)</f>
        <v>358.48250000000002</v>
      </c>
      <c r="E184" s="155">
        <f t="shared" si="14"/>
        <v>52.824359999999999</v>
      </c>
      <c r="F184" s="155">
        <f t="shared" si="14"/>
        <v>19.49502</v>
      </c>
      <c r="G184" s="155">
        <f t="shared" si="14"/>
        <v>5.5564500000000008</v>
      </c>
      <c r="I184" s="156"/>
      <c r="J184" s="166"/>
    </row>
    <row r="185" spans="1:14" s="153" customFormat="1" ht="12" hidden="1" customHeight="1" x14ac:dyDescent="0.3">
      <c r="A185" s="156" t="s">
        <v>59</v>
      </c>
      <c r="B185" s="166">
        <v>0.13</v>
      </c>
    </row>
    <row r="186" spans="1:14" s="153" customFormat="1" ht="12" hidden="1" customHeight="1" x14ac:dyDescent="0.3">
      <c r="A186" s="156" t="s">
        <v>60</v>
      </c>
      <c r="B186" s="165">
        <f>B184-B184*B185</f>
        <v>708.40620000000001</v>
      </c>
    </row>
    <row r="187" spans="1:14" s="156" customFormat="1" ht="12" hidden="1" customHeight="1" x14ac:dyDescent="0.3">
      <c r="A187" s="156" t="s">
        <v>61</v>
      </c>
      <c r="B187" s="166">
        <v>0.03</v>
      </c>
    </row>
    <row r="189" spans="1:14" ht="12" customHeight="1" x14ac:dyDescent="0.25">
      <c r="A189" s="73"/>
    </row>
  </sheetData>
  <sheetProtection algorithmName="SHA-512" hashValue="xIDCTFGpaJ6Ryr+tbDDmwxw4ONY4tPtk7lI2gkxiTdIEahpEAd3prAItr1taz5v9BZ4V/B/q4IbdxAiKzqwgzw==" saltValue="7IRokZMNZ+D9+F54MzBBDQ==" spinCount="100000" sheet="1" objects="1" scenarios="1"/>
  <mergeCells count="10">
    <mergeCell ref="D17:F20"/>
    <mergeCell ref="D150:F152"/>
    <mergeCell ref="A1:F1"/>
    <mergeCell ref="D4:E4"/>
    <mergeCell ref="D5:E5"/>
    <mergeCell ref="A3:F3"/>
    <mergeCell ref="A8:B8"/>
    <mergeCell ref="D8:F8"/>
    <mergeCell ref="A16:B16"/>
    <mergeCell ref="F62:F98"/>
  </mergeCells>
  <conditionalFormatting sqref="A125">
    <cfRule type="expression" dxfId="21" priority="187">
      <formula>($F$12+$F$11)=0</formula>
    </cfRule>
  </conditionalFormatting>
  <conditionalFormatting sqref="A60:D60">
    <cfRule type="expression" dxfId="20" priority="27">
      <formula>$B$19=0</formula>
    </cfRule>
  </conditionalFormatting>
  <conditionalFormatting sqref="A77:D77 A78:E81">
    <cfRule type="expression" dxfId="19" priority="178">
      <formula>$F$10=0</formula>
    </cfRule>
  </conditionalFormatting>
  <conditionalFormatting sqref="A63:E67">
    <cfRule type="expression" dxfId="18" priority="4">
      <formula>$B$17=0</formula>
    </cfRule>
  </conditionalFormatting>
  <conditionalFormatting sqref="A70:E74">
    <cfRule type="expression" dxfId="17" priority="14">
      <formula>$F$9=0</formula>
    </cfRule>
  </conditionalFormatting>
  <conditionalFormatting sqref="A75:E75">
    <cfRule type="expression" dxfId="16" priority="78">
      <formula>$F$9=0</formula>
    </cfRule>
  </conditionalFormatting>
  <conditionalFormatting sqref="A84:E88">
    <cfRule type="expression" dxfId="15" priority="23">
      <formula>$F$11=0</formula>
    </cfRule>
  </conditionalFormatting>
  <conditionalFormatting sqref="A91:E99">
    <cfRule type="expression" dxfId="14" priority="19">
      <formula>$F$12=0</formula>
    </cfRule>
  </conditionalFormatting>
  <conditionalFormatting sqref="A41:F46">
    <cfRule type="expression" dxfId="13" priority="6">
      <formula>$B$18=0</formula>
    </cfRule>
  </conditionalFormatting>
  <conditionalFormatting sqref="A48:F53">
    <cfRule type="expression" dxfId="12" priority="5">
      <formula>$B$18=0</formula>
    </cfRule>
  </conditionalFormatting>
  <conditionalFormatting sqref="A55:F59 E60:F60">
    <cfRule type="expression" dxfId="11" priority="11">
      <formula>$B$19=0</formula>
    </cfRule>
  </conditionalFormatting>
  <conditionalFormatting sqref="A59:F59">
    <cfRule type="expression" dxfId="10" priority="28">
      <formula>$B$17=0</formula>
    </cfRule>
  </conditionalFormatting>
  <conditionalFormatting sqref="A104:F104">
    <cfRule type="expression" dxfId="9" priority="3">
      <formula>$B$15=0</formula>
    </cfRule>
  </conditionalFormatting>
  <conditionalFormatting sqref="A107:F107">
    <cfRule type="expression" dxfId="8" priority="65">
      <formula>$B$17=0</formula>
    </cfRule>
  </conditionalFormatting>
  <conditionalFormatting sqref="A108:F108">
    <cfRule type="expression" dxfId="7" priority="56">
      <formula>$F$9=0</formula>
    </cfRule>
  </conditionalFormatting>
  <conditionalFormatting sqref="A109:F109">
    <cfRule type="expression" dxfId="6" priority="13">
      <formula>$F$10=0</formula>
    </cfRule>
  </conditionalFormatting>
  <conditionalFormatting sqref="A110:F115">
    <cfRule type="expression" dxfId="5" priority="53">
      <formula>$B9=0</formula>
    </cfRule>
  </conditionalFormatting>
  <conditionalFormatting sqref="A117:F117">
    <cfRule type="expression" dxfId="4" priority="63">
      <formula>$F$13=0</formula>
    </cfRule>
  </conditionalFormatting>
  <conditionalFormatting sqref="A126:F127">
    <cfRule type="expression" dxfId="3" priority="8">
      <formula>$F$11=0</formula>
    </cfRule>
  </conditionalFormatting>
  <conditionalFormatting sqref="A105:XFD105">
    <cfRule type="expression" dxfId="2" priority="2">
      <formula>$B$47=0</formula>
    </cfRule>
  </conditionalFormatting>
  <conditionalFormatting sqref="A106:XFD106">
    <cfRule type="expression" dxfId="1" priority="1">
      <formula>$B$54=0</formula>
    </cfRule>
  </conditionalFormatting>
  <conditionalFormatting sqref="B76:E76">
    <cfRule type="expression" dxfId="0" priority="182">
      <formula>$F$10=0</formula>
    </cfRule>
  </conditionalFormatting>
  <printOptions horizontalCentered="1"/>
  <pageMargins left="0.70866141732283472" right="0.70866141732283472" top="0.59055118110236227" bottom="0.19685039370078741" header="0.31496062992125984" footer="0.31496062992125984"/>
  <pageSetup paperSize="9" orientation="portrait" r:id="rId1"/>
  <rowBreaks count="2" manualBreakCount="2">
    <brk id="37" max="16383" man="1"/>
    <brk id="9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MeinBrot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Birgit Hoymann</dc:creator>
  <cp:keywords/>
  <dc:description/>
  <cp:lastModifiedBy>Birgit Hoymann</cp:lastModifiedBy>
  <cp:revision/>
  <cp:lastPrinted>2026-06-19T15:55:24Z</cp:lastPrinted>
  <dcterms:created xsi:type="dcterms:W3CDTF">2025-04-29T22:05:03Z</dcterms:created>
  <dcterms:modified xsi:type="dcterms:W3CDTF">2026-09-27T12:24:36Z</dcterms:modified>
  <cp:category/>
  <cp:contentStatus/>
</cp:coreProperties>
</file>